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1400" yWindow="60" windowWidth="16290" windowHeight="11610" tabRatio="941" firstSheet="6" activeTab="16"/>
  </bookViews>
  <sheets>
    <sheet name="УСЛУГА " sheetId="1" r:id="rId1"/>
    <sheet name="Работа 1" sheetId="13" r:id="rId2"/>
    <sheet name="Работа 2" sheetId="15" r:id="rId3"/>
    <sheet name="Работа 3" sheetId="16" r:id="rId4"/>
    <sheet name="общие сведенья (показ фильма" sheetId="18" r:id="rId5"/>
    <sheet name="общие сведения1" sheetId="2" r:id="rId6"/>
    <sheet name="общие сведения 2" sheetId="12" r:id="rId7"/>
    <sheet name="общие сведения 3" sheetId="17" r:id="rId8"/>
    <sheet name="211,213 непосред. связан. усл" sheetId="3" r:id="rId9"/>
    <sheet name="мат запасы и ОЦДИ" sheetId="4" r:id="rId10"/>
    <sheet name="иные затраты" sheetId="14" r:id="rId11"/>
    <sheet name="комунальные услуги" sheetId="5" r:id="rId12"/>
    <sheet name="затраты на содер недвиж имущ" sheetId="6" r:id="rId13"/>
    <sheet name="221, на содер ОЦДИ" sheetId="7" r:id="rId14"/>
    <sheet name="222 (транст)" sheetId="8" r:id="rId15"/>
    <sheet name="211,213 не связанные с оказ усл" sheetId="9" r:id="rId16"/>
    <sheet name="общехоз нужды" sheetId="11" r:id="rId17"/>
  </sheets>
  <calcPr calcId="125725"/>
</workbook>
</file>

<file path=xl/calcChain.xml><?xml version="1.0" encoding="utf-8"?>
<calcChain xmlns="http://schemas.openxmlformats.org/spreadsheetml/2006/main">
  <c r="I20" i="13"/>
  <c r="I18"/>
  <c r="I19"/>
  <c r="I34" i="15"/>
  <c r="I23"/>
  <c r="J68" i="13" l="1"/>
  <c r="J67"/>
  <c r="J69"/>
  <c r="J70"/>
  <c r="J71"/>
  <c r="J72"/>
  <c r="J66"/>
  <c r="I169" i="15"/>
  <c r="I168"/>
  <c r="I175"/>
  <c r="I171"/>
  <c r="I80" i="16"/>
  <c r="I81" s="1"/>
  <c r="I174" i="15"/>
  <c r="I98"/>
  <c r="I92"/>
  <c r="I51"/>
  <c r="I52"/>
  <c r="G105"/>
  <c r="I49"/>
  <c r="G23" i="16"/>
  <c r="I48" i="15"/>
  <c r="I26" i="16"/>
  <c r="I186" i="15" l="1"/>
  <c r="H68"/>
  <c r="H65"/>
  <c r="H61"/>
  <c r="H60"/>
  <c r="G120"/>
  <c r="H56" i="16"/>
  <c r="H50" i="13"/>
  <c r="H70" i="15" l="1"/>
  <c r="J73" i="13"/>
  <c r="J62"/>
  <c r="I17" l="1"/>
  <c r="G16" i="15"/>
  <c r="G14" i="16"/>
  <c r="G13" i="13"/>
  <c r="I36" i="16" l="1"/>
  <c r="I97" i="15" l="1"/>
  <c r="I96"/>
  <c r="I87"/>
  <c r="I88"/>
  <c r="I89"/>
  <c r="I90"/>
  <c r="I91"/>
  <c r="I93"/>
  <c r="I25" i="13"/>
  <c r="H37" l="1"/>
  <c r="H36"/>
  <c r="H35"/>
  <c r="H34"/>
  <c r="H33"/>
  <c r="H32"/>
  <c r="H31"/>
  <c r="H38" l="1"/>
  <c r="J59"/>
  <c r="J60"/>
  <c r="J61"/>
  <c r="I42" i="16"/>
  <c r="J137" i="15"/>
  <c r="J138"/>
  <c r="J139"/>
  <c r="J140"/>
  <c r="J141"/>
  <c r="J142"/>
  <c r="J143"/>
  <c r="J136"/>
  <c r="J148"/>
  <c r="J149"/>
  <c r="J150"/>
  <c r="J151"/>
  <c r="J152"/>
  <c r="J153"/>
  <c r="J154"/>
  <c r="J147"/>
  <c r="J126"/>
  <c r="J127"/>
  <c r="J128"/>
  <c r="J129"/>
  <c r="J130"/>
  <c r="J131"/>
  <c r="J132"/>
  <c r="J125"/>
  <c r="J67" i="16"/>
  <c r="J66"/>
  <c r="J72"/>
  <c r="J71"/>
  <c r="J62"/>
  <c r="J61"/>
  <c r="H13" i="13"/>
  <c r="H16" i="15"/>
  <c r="I16" s="1"/>
  <c r="H14" i="16"/>
  <c r="J63" i="13" l="1"/>
  <c r="J144" i="15"/>
  <c r="I13" i="13"/>
  <c r="I24" i="15" l="1"/>
  <c r="H43" i="13" l="1"/>
  <c r="I42" i="15" l="1"/>
  <c r="I41"/>
  <c r="I86" l="1"/>
  <c r="I75"/>
  <c r="I76"/>
  <c r="I77"/>
  <c r="I78"/>
  <c r="I79"/>
  <c r="I74"/>
  <c r="I80" l="1"/>
  <c r="J163" l="1"/>
  <c r="I187" s="1"/>
  <c r="H6" i="11" l="1"/>
  <c r="H5"/>
  <c r="F5"/>
  <c r="C11" i="9"/>
  <c r="B11"/>
  <c r="C13" s="1"/>
  <c r="H8"/>
  <c r="G8"/>
  <c r="F8"/>
  <c r="H7"/>
  <c r="G7"/>
  <c r="F7"/>
  <c r="G6"/>
  <c r="H6" s="1"/>
  <c r="F6"/>
  <c r="G5"/>
  <c r="H5" s="1"/>
  <c r="F5"/>
  <c r="H6" i="8"/>
  <c r="H5"/>
  <c r="I6" i="7"/>
  <c r="I5"/>
  <c r="H6" i="6"/>
  <c r="H5"/>
  <c r="F11" i="5"/>
  <c r="H11" s="1"/>
  <c r="H12" s="1"/>
  <c r="F14" i="1" s="1"/>
  <c r="H10" i="5"/>
  <c r="F10"/>
  <c r="H9"/>
  <c r="F9"/>
  <c r="H6" i="14"/>
  <c r="F6"/>
  <c r="F5"/>
  <c r="H5" s="1"/>
  <c r="C20" i="3"/>
  <c r="B20"/>
  <c r="C21" s="1"/>
  <c r="G15"/>
  <c r="F15"/>
  <c r="D15"/>
  <c r="G13"/>
  <c r="F13"/>
  <c r="D13"/>
  <c r="G12"/>
  <c r="F12"/>
  <c r="D12"/>
  <c r="J73" i="16"/>
  <c r="J68"/>
  <c r="I28"/>
  <c r="I27"/>
  <c r="I20"/>
  <c r="I19"/>
  <c r="I18"/>
  <c r="I14"/>
  <c r="J155" i="15"/>
  <c r="J133"/>
  <c r="I95"/>
  <c r="I99" s="1"/>
  <c r="I50"/>
  <c r="I40"/>
  <c r="I39"/>
  <c r="I33"/>
  <c r="I32"/>
  <c r="I31"/>
  <c r="I29"/>
  <c r="I28"/>
  <c r="I27"/>
  <c r="I22"/>
  <c r="I21"/>
  <c r="I26" i="13"/>
  <c r="F26" i="1"/>
  <c r="F22"/>
  <c r="F20"/>
  <c r="F18"/>
  <c r="F16"/>
  <c r="F9"/>
  <c r="H15" i="3" l="1"/>
  <c r="F17"/>
  <c r="H13"/>
  <c r="H12"/>
  <c r="I35" i="15"/>
  <c r="H9" i="9"/>
  <c r="F24" i="1" s="1"/>
  <c r="C14" i="9"/>
  <c r="C15"/>
  <c r="C31" i="1"/>
  <c r="C22" i="3"/>
  <c r="C23"/>
  <c r="C37" i="1" s="1"/>
  <c r="H7" i="14"/>
  <c r="F11" i="1" s="1"/>
  <c r="I53" i="15"/>
  <c r="I27" i="13"/>
  <c r="I37" i="16"/>
  <c r="I43" i="15"/>
  <c r="I29" i="16"/>
  <c r="I21"/>
  <c r="J63"/>
  <c r="H18" i="3" l="1"/>
  <c r="F7" i="1" s="1"/>
  <c r="C28" s="1"/>
  <c r="C34" s="1"/>
  <c r="I82" i="16"/>
  <c r="I189" i="15"/>
  <c r="J75" i="13"/>
</calcChain>
</file>

<file path=xl/sharedStrings.xml><?xml version="1.0" encoding="utf-8"?>
<sst xmlns="http://schemas.openxmlformats.org/spreadsheetml/2006/main" count="763" uniqueCount="438">
  <si>
    <t>Ед. изм.</t>
  </si>
  <si>
    <t>Значение нормы</t>
  </si>
  <si>
    <t>1.2. Материальные запасы и ОЦДИ</t>
  </si>
  <si>
    <t>1.3. Иные нормы</t>
  </si>
  <si>
    <t>2. Нормы на общехозяйственные нужды</t>
  </si>
  <si>
    <t>2.1. Коммунальные услуги</t>
  </si>
  <si>
    <t>2.2. Содержание объектов недвижимого имущества</t>
  </si>
  <si>
    <t>2.3. Содержание объектов ОЦДИ</t>
  </si>
  <si>
    <t>2.4. Услуги связи</t>
  </si>
  <si>
    <t>2.5. Транспортные услуги</t>
  </si>
  <si>
    <t>2.6. Заработная плата</t>
  </si>
  <si>
    <t>2.7. Прочие общехозяйственные нужды</t>
  </si>
  <si>
    <t>Количество ставок</t>
  </si>
  <si>
    <t>Работники, непосредственно НЕ связанные с оказанием услуги</t>
  </si>
  <si>
    <r>
      <t>Содержание услуги 1</t>
    </r>
    <r>
      <rPr>
        <sz val="11"/>
        <color rgb="FF000000"/>
        <rFont val="Times New Roman"/>
        <family val="1"/>
        <charset val="204"/>
      </rPr>
      <t xml:space="preserve">: </t>
    </r>
  </si>
  <si>
    <t>Работники, непосредственно связанные с оказанием услуги</t>
  </si>
  <si>
    <t xml:space="preserve">Затраты на оплату труда (с начислениями) работников, непосредственно связанных с оказанием услуги </t>
  </si>
  <si>
    <r>
      <t xml:space="preserve">Фонд заработной платы </t>
    </r>
    <r>
      <rPr>
        <sz val="11"/>
        <color rgb="FF000000"/>
        <rFont val="Times New Roman"/>
        <family val="1"/>
        <charset val="204"/>
      </rPr>
      <t xml:space="preserve">– в соответствии со штатным расписанием (с учетом стимулирующих выплат) по каждой группе должностей. Начисления на ФОТ – коэффициент </t>
    </r>
    <r>
      <rPr>
        <b/>
        <sz val="11"/>
        <color rgb="FFC00000"/>
        <rFont val="Times New Roman"/>
        <family val="1"/>
        <charset val="204"/>
      </rPr>
      <t>1,302</t>
    </r>
  </si>
  <si>
    <t>Должности по штатному расписанию</t>
  </si>
  <si>
    <t>З/п на одну ставку (ФОТ)</t>
  </si>
  <si>
    <t>Кол-во ставок</t>
  </si>
  <si>
    <t>Норма трудозатрат на оказание  1 ед. услуги (человеко-часов)</t>
  </si>
  <si>
    <t>Нормативные затраты</t>
  </si>
  <si>
    <t>6 = 4 ÷ 5</t>
  </si>
  <si>
    <t>ИТОГО ОПЛАТА ТРУДА</t>
  </si>
  <si>
    <r>
      <t xml:space="preserve">4 = 3 </t>
    </r>
    <r>
      <rPr>
        <sz val="11"/>
        <color rgb="FF000000"/>
        <rFont val="Arial"/>
        <family val="2"/>
        <charset val="204"/>
      </rPr>
      <t xml:space="preserve">× </t>
    </r>
    <r>
      <rPr>
        <b/>
        <sz val="11"/>
        <color rgb="FFC00000"/>
        <rFont val="Times New Roman"/>
        <family val="1"/>
        <charset val="204"/>
      </rPr>
      <t>1 974</t>
    </r>
  </si>
  <si>
    <r>
      <t>8 = 6</t>
    </r>
    <r>
      <rPr>
        <sz val="11"/>
        <color rgb="FF000000"/>
        <rFont val="Arial"/>
        <family val="2"/>
        <charset val="204"/>
      </rPr>
      <t>× 7</t>
    </r>
    <r>
      <rPr>
        <sz val="11"/>
        <color rgb="FF000000"/>
        <rFont val="Times New Roman"/>
        <family val="1"/>
        <charset val="204"/>
      </rPr>
      <t xml:space="preserve"> </t>
    </r>
  </si>
  <si>
    <r>
      <t xml:space="preserve">7= 2 </t>
    </r>
    <r>
      <rPr>
        <sz val="11"/>
        <color rgb="FF000000"/>
        <rFont val="Arial"/>
        <family val="2"/>
        <charset val="204"/>
      </rPr>
      <t xml:space="preserve">× </t>
    </r>
    <r>
      <rPr>
        <b/>
        <sz val="11"/>
        <color rgb="FFC00000"/>
        <rFont val="Times New Roman"/>
        <family val="1"/>
        <charset val="204"/>
      </rPr>
      <t>12</t>
    </r>
    <r>
      <rPr>
        <sz val="11"/>
        <color rgb="FFC00000"/>
        <rFont val="Times New Roman"/>
        <family val="1"/>
        <charset val="204"/>
      </rPr>
      <t xml:space="preserve"> </t>
    </r>
    <r>
      <rPr>
        <sz val="11"/>
        <color rgb="FF000000"/>
        <rFont val="Arial"/>
        <family val="2"/>
        <charset val="204"/>
      </rPr>
      <t>×</t>
    </r>
    <r>
      <rPr>
        <b/>
        <sz val="11"/>
        <color rgb="FFC00000"/>
        <rFont val="Times New Roman"/>
        <family val="1"/>
        <charset val="204"/>
      </rPr>
      <t>1,302</t>
    </r>
    <r>
      <rPr>
        <sz val="11"/>
        <color rgb="FF000000"/>
        <rFont val="Arial"/>
        <family val="2"/>
        <charset val="204"/>
      </rPr>
      <t>÷</t>
    </r>
    <r>
      <rPr>
        <sz val="11"/>
        <color rgb="FFC00000"/>
        <rFont val="Times New Roman"/>
        <family val="1"/>
        <charset val="204"/>
      </rPr>
      <t xml:space="preserve"> 1974</t>
    </r>
  </si>
  <si>
    <t>Количество затраченных человеко-часов (1 974 часа ×кол-во ставок)</t>
  </si>
  <si>
    <t>Стоимость 1 человека-часа(ФОТ × 12 мес × 1,302  ÷ 1 974 часов)</t>
  </si>
  <si>
    <t>Материальные запасы и особо ценное движимое имущество (Используются укрупненные группы запасов и ОЦДИ для определения ресурсов)</t>
  </si>
  <si>
    <t>Наименование запасов и особо ценного движимого имущества по группам</t>
  </si>
  <si>
    <t>Ед. изм. нормы</t>
  </si>
  <si>
    <t xml:space="preserve">Нормативное количество мат. запасов, ОЦДИ </t>
  </si>
  <si>
    <t xml:space="preserve">Нормативные затраты </t>
  </si>
  <si>
    <t>ед.</t>
  </si>
  <si>
    <t>ПРОЧЕЕ ИМУЩЕСТВО</t>
  </si>
  <si>
    <t>ИТОГО МАТ ЗАПАСЫ / ОЦДИ</t>
  </si>
  <si>
    <r>
      <t xml:space="preserve">5 = 3 </t>
    </r>
    <r>
      <rPr>
        <sz val="11"/>
        <color rgb="FF000000"/>
        <rFont val="Arial"/>
        <family val="2"/>
        <charset val="204"/>
      </rPr>
      <t xml:space="preserve">÷ </t>
    </r>
    <r>
      <rPr>
        <sz val="11"/>
        <color rgb="FF000000"/>
        <rFont val="Times New Roman"/>
        <family val="1"/>
        <charset val="204"/>
      </rPr>
      <t>4</t>
    </r>
  </si>
  <si>
    <r>
      <t xml:space="preserve">8 = 5 </t>
    </r>
    <r>
      <rPr>
        <sz val="11"/>
        <color rgb="FF000000"/>
        <rFont val="Arial"/>
        <family val="2"/>
        <charset val="204"/>
      </rPr>
      <t>× 7</t>
    </r>
  </si>
  <si>
    <t>Срок полезного исп-я, лет(ПБУ)</t>
  </si>
  <si>
    <t>Цена 1 ед. ресурса, рублей</t>
  </si>
  <si>
    <t>Затраты на коммунальные услуги</t>
  </si>
  <si>
    <r>
      <t>Рекомендуемый метод распределения общ-х затрат</t>
    </r>
    <r>
      <rPr>
        <sz val="11"/>
        <color rgb="FF000000"/>
        <rFont val="Times New Roman"/>
        <family val="1"/>
        <charset val="204"/>
      </rPr>
      <t>:</t>
    </r>
    <r>
      <rPr>
        <sz val="11"/>
        <color rgb="FFC00000"/>
        <rFont val="Times New Roman"/>
        <family val="1"/>
        <charset val="204"/>
      </rPr>
      <t xml:space="preserve"> время использования имущ. Комплекса</t>
    </r>
  </si>
  <si>
    <t>Наименование коммунальных услуг</t>
  </si>
  <si>
    <t>Норматив-ный объем</t>
  </si>
  <si>
    <t>Общее полезное время исп-я имущ. комплекса</t>
  </si>
  <si>
    <t>Норма ресурса на 1 ед. услуги</t>
  </si>
  <si>
    <t>Тариф (цена), рублей</t>
  </si>
  <si>
    <t>Электроэнергия</t>
  </si>
  <si>
    <t>Теплоэнергия</t>
  </si>
  <si>
    <t>ИТОГО КОММУНАЛЬНЫЕ УСЛУГИ</t>
  </si>
  <si>
    <t>Время исп-я имущ. комплекса на 1 зрителя</t>
  </si>
  <si>
    <r>
      <t xml:space="preserve">6 = 3 </t>
    </r>
    <r>
      <rPr>
        <sz val="11"/>
        <color rgb="FF000000"/>
        <rFont val="Arial"/>
        <family val="2"/>
        <charset val="204"/>
      </rPr>
      <t xml:space="preserve">÷ </t>
    </r>
    <r>
      <rPr>
        <sz val="11"/>
        <color rgb="FF000000"/>
        <rFont val="Times New Roman"/>
        <family val="1"/>
        <charset val="204"/>
      </rPr>
      <t xml:space="preserve">4 </t>
    </r>
    <r>
      <rPr>
        <sz val="11"/>
        <color rgb="FF000000"/>
        <rFont val="Arial"/>
        <family val="2"/>
        <charset val="204"/>
      </rPr>
      <t>× 5</t>
    </r>
  </si>
  <si>
    <r>
      <t xml:space="preserve">8 = 6 </t>
    </r>
    <r>
      <rPr>
        <sz val="11"/>
        <color rgb="FF000000"/>
        <rFont val="Arial"/>
        <family val="2"/>
        <charset val="204"/>
      </rPr>
      <t>×</t>
    </r>
    <r>
      <rPr>
        <sz val="11"/>
        <color rgb="FF000000"/>
        <rFont val="Times New Roman"/>
        <family val="1"/>
        <charset val="204"/>
      </rPr>
      <t xml:space="preserve"> 7</t>
    </r>
  </si>
  <si>
    <t>Затраты на содержание объектов недвижимого имущества</t>
  </si>
  <si>
    <t>Наименование затрат</t>
  </si>
  <si>
    <t>Норма затрат на 1 ед. услуги</t>
  </si>
  <si>
    <t>ИТОГО СОДЕРЖАНИЕ ОБЪЕКТОВ НЕДВИЖ. ИМУЩЕСТВА</t>
  </si>
  <si>
    <t>Затраты на содержание объектов ОЦДИ, услуги связи</t>
  </si>
  <si>
    <t>Наименование услуг связи</t>
  </si>
  <si>
    <t>Месяцев</t>
  </si>
  <si>
    <t>ИТОГО УСЛУГИ СВЯЗИ</t>
  </si>
  <si>
    <t>Затраты на транспортные услуги</t>
  </si>
  <si>
    <t>Наименование транспортных услуг</t>
  </si>
  <si>
    <t>ИТОГО ТРАНСПОРТНЫЕ УСЛУГИ</t>
  </si>
  <si>
    <t xml:space="preserve">Затраты на оплату труда (с начислениями) работников, непосредственно НЕ связанных с оказанием услуги </t>
  </si>
  <si>
    <t>ФОТ с учетом количества ставок и отчислений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</si>
  <si>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</si>
  <si>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</si>
  <si>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</si>
  <si>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</si>
  <si>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r>
      <t xml:space="preserve">9 = 6 </t>
    </r>
    <r>
      <rPr>
        <sz val="11"/>
        <color rgb="FF000000"/>
        <rFont val="Arial"/>
        <family val="2"/>
        <charset val="204"/>
      </rPr>
      <t>×</t>
    </r>
    <r>
      <rPr>
        <sz val="11"/>
        <color rgb="FF000000"/>
        <rFont val="Times New Roman"/>
        <family val="1"/>
        <charset val="204"/>
      </rPr>
      <t xml:space="preserve"> 7 </t>
    </r>
    <r>
      <rPr>
        <sz val="11"/>
        <color rgb="FF000000"/>
        <rFont val="Arial"/>
        <family val="2"/>
        <charset val="204"/>
      </rPr>
      <t>×</t>
    </r>
    <r>
      <rPr>
        <sz val="11"/>
        <color rgb="FF000000"/>
        <rFont val="Times New Roman"/>
        <family val="1"/>
        <charset val="204"/>
      </rPr>
      <t xml:space="preserve"> 8</t>
    </r>
  </si>
  <si>
    <r>
      <t xml:space="preserve">7 = 2 </t>
    </r>
    <r>
      <rPr>
        <sz val="11"/>
        <color rgb="FF000000"/>
        <rFont val="Arial"/>
        <family val="2"/>
        <charset val="204"/>
      </rPr>
      <t xml:space="preserve">× 3× </t>
    </r>
    <r>
      <rPr>
        <sz val="11"/>
        <color rgb="FFC00000"/>
        <rFont val="Times New Roman"/>
        <family val="1"/>
        <charset val="204"/>
      </rPr>
      <t xml:space="preserve">12 </t>
    </r>
    <r>
      <rPr>
        <sz val="11"/>
        <color rgb="FF000000"/>
        <rFont val="Arial"/>
        <family val="2"/>
        <charset val="204"/>
      </rPr>
      <t>×</t>
    </r>
    <r>
      <rPr>
        <sz val="11"/>
        <color rgb="FFC00000"/>
        <rFont val="Times New Roman"/>
        <family val="1"/>
        <charset val="204"/>
      </rPr>
      <t xml:space="preserve"> 1,302</t>
    </r>
  </si>
  <si>
    <r>
      <t>Содержание услуги 2</t>
    </r>
    <r>
      <rPr>
        <sz val="11"/>
        <color rgb="FF000000"/>
        <rFont val="Times New Roman"/>
        <family val="1"/>
        <charset val="204"/>
      </rPr>
      <t>: в стационарных условиях</t>
    </r>
  </si>
  <si>
    <t>1. Нормы, непосредственно связанные с оказанием услуги</t>
  </si>
  <si>
    <r>
      <t xml:space="preserve"> </t>
    </r>
    <r>
      <rPr>
        <b/>
        <sz val="10"/>
        <color theme="1"/>
        <rFont val="Times New Roman"/>
        <family val="1"/>
        <charset val="204"/>
      </rPr>
      <t>Базовый норматив затрат, непосредственно связанных с оказанием i-ой государственной услуги</t>
    </r>
  </si>
  <si>
    <r>
      <t xml:space="preserve"> </t>
    </r>
    <r>
      <rPr>
        <b/>
        <sz val="9"/>
        <color theme="1"/>
        <rFont val="Times New Roman"/>
        <family val="1"/>
        <charset val="204"/>
      </rPr>
      <t>Базовый норматив затрат на общехозяйственные нужды на оказание i-ой государственной услуги</t>
    </r>
  </si>
  <si>
    <t xml:space="preserve">Базовый норматив затрат на оказание i-ой государственной услуги </t>
  </si>
  <si>
    <t>Наименование услуги</t>
  </si>
  <si>
    <t>Уникальный номер реестровой записи</t>
  </si>
  <si>
    <t>1.1. Работники, непосредственно связанные с оказанием муниципальной услуги</t>
  </si>
  <si>
    <t>Наименование нормы</t>
  </si>
  <si>
    <t>Заработная плата</t>
  </si>
  <si>
    <t>Водоснабжение</t>
  </si>
  <si>
    <t>Время исп-я имущ. комплекса на 1 посетителя</t>
  </si>
  <si>
    <t>Иные нужды</t>
  </si>
  <si>
    <t xml:space="preserve">шт </t>
  </si>
  <si>
    <t>Иные затраты, непосредственно связанные с оказанием  услуги</t>
  </si>
  <si>
    <t xml:space="preserve">ИТОГО ИНЫЕ ЗАТРАТЫ </t>
  </si>
  <si>
    <t>Льготный проезд</t>
  </si>
  <si>
    <t>Показ фильмов</t>
  </si>
  <si>
    <t>070220000000000001008101</t>
  </si>
  <si>
    <t>руб</t>
  </si>
  <si>
    <t>Учреждение: Муниципальное бюджетное учреждение культуры "Эвенкийский районный культурно досуговый центр" ЭМР</t>
  </si>
  <si>
    <t>Методист по видео</t>
  </si>
  <si>
    <t>Контролер билетов (50%)</t>
  </si>
  <si>
    <t>директор (10%)</t>
  </si>
  <si>
    <t>заместитель (10%)</t>
  </si>
  <si>
    <t>Старший билетный кассир (50%)</t>
  </si>
  <si>
    <t>Права публичного показа</t>
  </si>
  <si>
    <t>чел.</t>
  </si>
  <si>
    <t>Норма на 1 посетители , (шт)</t>
  </si>
  <si>
    <t>кВт час.(50%)</t>
  </si>
  <si>
    <t>Гкал (40%)</t>
  </si>
  <si>
    <r>
      <t>м</t>
    </r>
    <r>
      <rPr>
        <vertAlign val="superscript"/>
        <sz val="11"/>
        <color rgb="FF000000"/>
        <rFont val="Times New Roman"/>
        <family val="1"/>
        <charset val="204"/>
      </rPr>
      <t>3 (20%)</t>
    </r>
  </si>
  <si>
    <r>
      <t>Общее полезное время использования: Количество рабочих дней (</t>
    </r>
    <r>
      <rPr>
        <sz val="11"/>
        <color rgb="FFFF0000"/>
        <rFont val="Times New Roman"/>
        <family val="1"/>
        <charset val="204"/>
      </rPr>
      <t>247</t>
    </r>
    <r>
      <rPr>
        <sz val="11"/>
        <color rgb="FF000000"/>
        <rFont val="Times New Roman"/>
        <family val="1"/>
        <charset val="204"/>
      </rPr>
      <t>) х количество рабочих часов в день (</t>
    </r>
    <r>
      <rPr>
        <sz val="11"/>
        <color rgb="FFFF0000"/>
        <rFont val="Times New Roman"/>
        <family val="1"/>
        <charset val="204"/>
      </rPr>
      <t>8</t>
    </r>
    <r>
      <rPr>
        <sz val="11"/>
        <color rgb="FF000000"/>
        <rFont val="Times New Roman"/>
        <family val="1"/>
        <charset val="204"/>
      </rPr>
      <t xml:space="preserve">) х количество потребителей в человека-часах в день (31) = </t>
    </r>
    <r>
      <rPr>
        <sz val="11"/>
        <color rgb="FFC00000"/>
        <rFont val="Times New Roman"/>
        <family val="1"/>
        <charset val="204"/>
      </rPr>
      <t>61256,00</t>
    </r>
  </si>
  <si>
    <t>кол. фильмов</t>
  </si>
  <si>
    <t>итого</t>
  </si>
  <si>
    <t>Итого</t>
  </si>
  <si>
    <t>Базовые нормативы затрат по каждой услуге методом наиболее эффективного учреждения (на основе анализа и усреднения)</t>
  </si>
  <si>
    <t>приложение 2</t>
  </si>
  <si>
    <t xml:space="preserve">         НОРМАТИВ   ЗАТРАТ</t>
  </si>
  <si>
    <t xml:space="preserve">                    на выполнение муниципального задания</t>
  </si>
  <si>
    <t>1.Нормативы затрат непосредственно связанных с выполнением работ.</t>
  </si>
  <si>
    <t>1.1. Норматив затрат на оплату труда и начислений на выплаты по оплате труда:</t>
  </si>
  <si>
    <t>месячный фонд заработной платы</t>
  </si>
  <si>
    <t>кол-во выплат на 1 работникав год</t>
  </si>
  <si>
    <t>ФОТ</t>
  </si>
  <si>
    <t>расходы на уплату в ПФР,ФСС, ФОМС</t>
  </si>
  <si>
    <t>Фонд  заработной платы</t>
  </si>
  <si>
    <t>1.2. Норматив затрат на материальные запасы:</t>
  </si>
  <si>
    <t>№</t>
  </si>
  <si>
    <t xml:space="preserve">наименование </t>
  </si>
  <si>
    <t>Количество</t>
  </si>
  <si>
    <t xml:space="preserve">цена </t>
  </si>
  <si>
    <t>сумма</t>
  </si>
  <si>
    <t>ИТОГО:</t>
  </si>
  <si>
    <t>1.3. Норматив затрат на ценное движимое имущество:</t>
  </si>
  <si>
    <t>наименование</t>
  </si>
  <si>
    <t xml:space="preserve">сумма </t>
  </si>
  <si>
    <t>2. Норматив затрат на коммунальные услуги:</t>
  </si>
  <si>
    <t>ед.изм</t>
  </si>
  <si>
    <t>Количество ед.</t>
  </si>
  <si>
    <t>стоимость</t>
  </si>
  <si>
    <t xml:space="preserve">отопление </t>
  </si>
  <si>
    <t>Гкал</t>
  </si>
  <si>
    <t>квт</t>
  </si>
  <si>
    <t>водоснабжение</t>
  </si>
  <si>
    <t>м.куб</t>
  </si>
  <si>
    <t>ИТОГО</t>
  </si>
  <si>
    <t>3.Затраты на содержание объектов недвижимого имущества, необходимого для выполнения муниципального задания.</t>
  </si>
  <si>
    <t>Количество месяцев</t>
  </si>
  <si>
    <t>цена, руб.</t>
  </si>
  <si>
    <t>4.Норматив затрат на приобретение услуг связи:</t>
  </si>
  <si>
    <t>5.Норматив затрат на транспортные расходы:</t>
  </si>
  <si>
    <t>Сумма</t>
  </si>
  <si>
    <t>ФИО</t>
  </si>
  <si>
    <t>маршрут</t>
  </si>
  <si>
    <t>Суточные :</t>
  </si>
  <si>
    <t>Маршрут следования</t>
  </si>
  <si>
    <t>количество человек</t>
  </si>
  <si>
    <t>количество дней</t>
  </si>
  <si>
    <t>Сумма суточных расходов</t>
  </si>
  <si>
    <t xml:space="preserve">количество  поездок </t>
  </si>
  <si>
    <t>Сумма в год</t>
  </si>
  <si>
    <t>Проезд:</t>
  </si>
  <si>
    <t>Сумма проезда</t>
  </si>
  <si>
    <t>Проживание:</t>
  </si>
  <si>
    <t>Сумма проживания</t>
  </si>
  <si>
    <t xml:space="preserve">                      МБУК "ЭРКДЦ"</t>
  </si>
  <si>
    <t>Наименование работы "Организация деятельности клубных формирований и формирований самодеятельного народного творчества"</t>
  </si>
  <si>
    <t>Наименование работы "Организация мероприятий"</t>
  </si>
  <si>
    <t>Наименование работы "Выявление, изучение, сохранение, развитие и популяризация объектов нематериального культурного наследия народов Российской Федерации в области традиционной народной культуры"</t>
  </si>
  <si>
    <t>Итого по услуги</t>
  </si>
  <si>
    <t>Тура-Красноярск-Симферополь</t>
  </si>
  <si>
    <t>Тура-Красноярск-Евпатория</t>
  </si>
  <si>
    <t>Тура-Красноярск-Сочи</t>
  </si>
  <si>
    <t>электроэнергия</t>
  </si>
  <si>
    <t>Проезд заочников к месту учебы:</t>
  </si>
  <si>
    <t>Аварийные и ремонтные работы инженерных систем по теплоснабжению</t>
  </si>
  <si>
    <t>Аварийные и ремонтные работы инженерных систем по электроснабжению</t>
  </si>
  <si>
    <t xml:space="preserve">Балансовая стоимость зданий </t>
  </si>
  <si>
    <t>Технического  обслуживания системы  
пожарной сигнализации, системы  оповещения  и видео-наблюдения</t>
  </si>
  <si>
    <t>Оплата за обслуживание тревожной кнопки(охрана)</t>
  </si>
  <si>
    <t>Услуги нотариуса</t>
  </si>
  <si>
    <t xml:space="preserve">Наименование </t>
  </si>
  <si>
    <t>ТМЦ</t>
  </si>
  <si>
    <t>Батарейки</t>
  </si>
  <si>
    <t xml:space="preserve">Картридж для МФУ </t>
  </si>
  <si>
    <t xml:space="preserve">Картридж д/принтера </t>
  </si>
  <si>
    <t>Ткань</t>
  </si>
  <si>
    <t>Елочные украшения(мишура, елочная игрушка)</t>
  </si>
  <si>
    <t>Новогодняя гирлянда</t>
  </si>
  <si>
    <t>Хозтовары</t>
  </si>
  <si>
    <t>Водоэмульсионная краска</t>
  </si>
  <si>
    <t>т.бумага</t>
  </si>
  <si>
    <t>Жидкое мыло</t>
  </si>
  <si>
    <t>Канцтовары</t>
  </si>
  <si>
    <t>бумага А4</t>
  </si>
  <si>
    <r>
      <t>Рабочих часов в год</t>
    </r>
    <r>
      <rPr>
        <sz val="11"/>
        <color rgb="FF000000"/>
        <rFont val="Times New Roman"/>
        <family val="1"/>
        <charset val="204"/>
      </rPr>
      <t xml:space="preserve">: </t>
    </r>
    <r>
      <rPr>
        <b/>
        <sz val="11"/>
        <color rgb="FFC00000"/>
        <rFont val="Times New Roman"/>
        <family val="1"/>
        <charset val="204"/>
      </rPr>
      <t xml:space="preserve">1 970 </t>
    </r>
    <r>
      <rPr>
        <sz val="11"/>
        <color rgb="FF000000"/>
        <rFont val="Times New Roman"/>
        <family val="1"/>
        <charset val="204"/>
      </rPr>
      <t>часа – производственный календарь на 2018 год</t>
    </r>
  </si>
  <si>
    <r>
      <t xml:space="preserve">Наименование показателя объема: 71019 </t>
    </r>
    <r>
      <rPr>
        <sz val="11"/>
        <color rgb="FFC00000"/>
        <rFont val="Times New Roman"/>
        <family val="1"/>
        <charset val="204"/>
      </rPr>
      <t xml:space="preserve">число посетителей (человек) </t>
    </r>
  </si>
  <si>
    <t>МБУК ЭРКДЦ</t>
  </si>
  <si>
    <t>вывоз ЖБО</t>
  </si>
  <si>
    <t>Тура-Ванавара (для сбора информации ЦНТ, опись исторических объектовкультуры)</t>
  </si>
  <si>
    <t>Снятие показаний счетчика теплового учета п. Тутончаны</t>
  </si>
  <si>
    <t>Призовой фонд</t>
  </si>
  <si>
    <t>Число посетителей (плановое задание 2018 года)</t>
  </si>
  <si>
    <r>
      <t>Планируемое число посетителей в год</t>
    </r>
    <r>
      <rPr>
        <sz val="11"/>
        <color rgb="FF000000"/>
        <rFont val="Times New Roman"/>
        <family val="1"/>
        <charset val="204"/>
      </rPr>
      <t xml:space="preserve">: 68130 человек (показатель объема услуги - </t>
    </r>
    <r>
      <rPr>
        <sz val="11"/>
        <color rgb="FFC00000"/>
        <rFont val="Times New Roman"/>
        <family val="1"/>
        <charset val="204"/>
      </rPr>
      <t>задание</t>
    </r>
    <r>
      <rPr>
        <sz val="11"/>
        <color rgb="FF000000"/>
        <rFont val="Times New Roman"/>
        <family val="1"/>
        <charset val="204"/>
      </rPr>
      <t>)</t>
    </r>
  </si>
  <si>
    <t>часов</t>
  </si>
  <si>
    <r>
      <t>Наименование показателя объема</t>
    </r>
    <r>
      <rPr>
        <sz val="11"/>
        <color rgb="FF000000"/>
        <rFont val="Times New Roman"/>
        <family val="1"/>
        <charset val="204"/>
      </rPr>
      <t xml:space="preserve">: число посетителей </t>
    </r>
  </si>
  <si>
    <t>"Организация деятельности клубных формирований и формирований самодеятельного народного творчества"</t>
  </si>
  <si>
    <t>"Организация мероприятий"</t>
  </si>
  <si>
    <t>"Выявление, изучение, сохранение, развитие и популяризация объектов нематериального культурного наследия народов Российской Федерации в области традиционной народной культуры"</t>
  </si>
  <si>
    <t>Худ.руководитель "Осиктакан"</t>
  </si>
  <si>
    <t>Балетмейстер - постановщик</t>
  </si>
  <si>
    <t>Зав.музыкальной частью</t>
  </si>
  <si>
    <t>Балетмейстер - репетитор</t>
  </si>
  <si>
    <t>Хормейстер</t>
  </si>
  <si>
    <t>Концертмейстер</t>
  </si>
  <si>
    <t>Зав.сектором ДПИ</t>
  </si>
  <si>
    <t>Зав.отделом по ИЗО</t>
  </si>
  <si>
    <t xml:space="preserve">Ведущий методист </t>
  </si>
  <si>
    <t>Специалист по фольклору</t>
  </si>
  <si>
    <t>Специалист по жанру</t>
  </si>
  <si>
    <t>Специалист по учетно-хранительской документации</t>
  </si>
  <si>
    <t>Зав. Сувенирной мастерской</t>
  </si>
  <si>
    <t xml:space="preserve">Мастер прикладного творчества </t>
  </si>
  <si>
    <t>Кассир сувенирной мастерской</t>
  </si>
  <si>
    <t>Режисер ТЮЗа</t>
  </si>
  <si>
    <t>Художник театрального костюма</t>
  </si>
  <si>
    <t>Художественный руководитель ансамбля «Полярная звезда»</t>
  </si>
  <si>
    <t xml:space="preserve">Главный экономист </t>
  </si>
  <si>
    <t>Документовед</t>
  </si>
  <si>
    <t>Начальник отдела кадров</t>
  </si>
  <si>
    <t>Специалист информационных систем</t>
  </si>
  <si>
    <t>Специалис по охране труда</t>
  </si>
  <si>
    <t>Худ.руководитель КДЦ</t>
  </si>
  <si>
    <t>Художник - декоратор</t>
  </si>
  <si>
    <t>Художник по свету</t>
  </si>
  <si>
    <t>Звукорежиссер</t>
  </si>
  <si>
    <t>Звукооператор</t>
  </si>
  <si>
    <t>Зав.костюмерной</t>
  </si>
  <si>
    <t>Зав. Метод кабинетом</t>
  </si>
  <si>
    <t>Ведущий методист</t>
  </si>
  <si>
    <t>Ведущий дискотеки</t>
  </si>
  <si>
    <t>Культорганизатор</t>
  </si>
  <si>
    <t>Зав.сектором информационно-издательской деятельности</t>
  </si>
  <si>
    <t>Артист-вокалист</t>
  </si>
  <si>
    <t>Администратор танцевального зала</t>
  </si>
  <si>
    <t>Распорядитель танцевального зала</t>
  </si>
  <si>
    <t>Руководитель студии</t>
  </si>
  <si>
    <t>Машинист сцены</t>
  </si>
  <si>
    <t>Старший билетный кассир</t>
  </si>
  <si>
    <t>Закройщик</t>
  </si>
  <si>
    <t>Заведующая СДК</t>
  </si>
  <si>
    <t>Балетмейстер</t>
  </si>
  <si>
    <t>директор (30%)</t>
  </si>
  <si>
    <t>Директор (40%)</t>
  </si>
  <si>
    <t>Зам.директора (50%)</t>
  </si>
  <si>
    <t>Зам.директора (30%)</t>
  </si>
  <si>
    <t>Зам.директора по народному творчеству (100%)</t>
  </si>
  <si>
    <r>
      <t>Услуга</t>
    </r>
    <r>
      <rPr>
        <sz val="11"/>
        <color rgb="FF000000"/>
        <rFont val="Times New Roman"/>
        <family val="1"/>
        <charset val="204"/>
      </rPr>
      <t>: Показ фильмов (070220000000000001008101)</t>
    </r>
  </si>
  <si>
    <r>
      <t>Наименование показателя объема</t>
    </r>
    <r>
      <rPr>
        <sz val="11"/>
        <color rgb="FF000000"/>
        <rFont val="Times New Roman"/>
        <family val="1"/>
        <charset val="204"/>
      </rPr>
      <t xml:space="preserve">: чило посетителей </t>
    </r>
  </si>
  <si>
    <r>
      <t>Штатное расписание</t>
    </r>
    <r>
      <rPr>
        <sz val="11"/>
        <color rgb="FF000000"/>
        <rFont val="Times New Roman"/>
        <family val="1"/>
        <charset val="204"/>
      </rPr>
      <t>:  общие 3 шт. ед.</t>
    </r>
  </si>
  <si>
    <r>
      <t>Штатное расписание</t>
    </r>
    <r>
      <rPr>
        <sz val="11"/>
        <color rgb="FF000000"/>
        <rFont val="Times New Roman"/>
        <family val="1"/>
        <charset val="204"/>
      </rPr>
      <t>:  общие 17 шт. ед.</t>
    </r>
  </si>
  <si>
    <r>
      <t>Штатное расписание</t>
    </r>
    <r>
      <rPr>
        <sz val="11"/>
        <color rgb="FF000000"/>
        <rFont val="Times New Roman"/>
        <family val="1"/>
        <charset val="204"/>
      </rPr>
      <t>:  общие 27 шт. ед.</t>
    </r>
  </si>
  <si>
    <r>
      <t>Штатное расписание</t>
    </r>
    <r>
      <rPr>
        <sz val="11"/>
        <color rgb="FF000000"/>
        <rFont val="Times New Roman"/>
        <family val="1"/>
        <charset val="204"/>
      </rPr>
      <t>:  общие 6 шт. ед.</t>
    </r>
  </si>
  <si>
    <t xml:space="preserve">Вода из системы Тура </t>
  </si>
  <si>
    <t>Ессей-Тура-Красноярск-Анапа</t>
  </si>
  <si>
    <t>Бойко Т.В.</t>
  </si>
  <si>
    <t>Осогосток Г.А.</t>
  </si>
  <si>
    <t>Тура-Красноярск (отчеты, коллегия, повышение квалификации )</t>
  </si>
  <si>
    <t>Ессей-Тура (для повышения квалификации методической и практической помощи)</t>
  </si>
  <si>
    <t>Кислокан -Тура (для повышения квалификации методической и практической помощи)</t>
  </si>
  <si>
    <t>Юкта -Тура (для повышения квалификации методической и практической помощи)</t>
  </si>
  <si>
    <t>Эконда -Тура(для повышения квалификации методической и практической помощи)</t>
  </si>
  <si>
    <t>Чиринда -Тура (для повышения квалификации методической и практической помощи)</t>
  </si>
  <si>
    <t>Тутончаны-Тура (для повышения квалификации методической и практической помощи)</t>
  </si>
  <si>
    <t>Нидым-Тура (для повышения квалификации методической и практической помощи)</t>
  </si>
  <si>
    <t>Тура-Байкит(для сбора информации ЦНТ, опись исторических объектовкультуры)</t>
  </si>
  <si>
    <t>Тура-Красноярск</t>
  </si>
  <si>
    <t>Ессей-Тура</t>
  </si>
  <si>
    <t xml:space="preserve">Кислокан -Тура </t>
  </si>
  <si>
    <t xml:space="preserve">Юкта -Тура </t>
  </si>
  <si>
    <t>Эконда -Тура</t>
  </si>
  <si>
    <t xml:space="preserve">Чиринда -Тура </t>
  </si>
  <si>
    <t>Тутончаны-Тура</t>
  </si>
  <si>
    <t>Нидым-Тура</t>
  </si>
  <si>
    <t>Тура-Ванавара</t>
  </si>
  <si>
    <t>Тура-Байкит</t>
  </si>
  <si>
    <t>Тура-Красноярск "Мир Сибири " Осиктакан</t>
  </si>
  <si>
    <t>Тура-Красноярск "Годенко " Осиктакан</t>
  </si>
  <si>
    <t>Кол-во единиц</t>
  </si>
  <si>
    <t>Стоимость единицы</t>
  </si>
  <si>
    <t>интернет СДК</t>
  </si>
  <si>
    <t>межгород</t>
  </si>
  <si>
    <t>тел меридиан в пределах поселка</t>
  </si>
  <si>
    <t>Оплата услуг почтовой связи</t>
  </si>
  <si>
    <t>конверты большие</t>
  </si>
  <si>
    <t xml:space="preserve">а/ящик </t>
  </si>
  <si>
    <t>Выплата з/пл, пособий, алиментов и т.п. через отделения почтовой связи</t>
  </si>
  <si>
    <t xml:space="preserve">Расчет </t>
  </si>
  <si>
    <t>Ессей -Тура-Красноярск Хотугу Сулус "У дивных гор"</t>
  </si>
  <si>
    <t>Кол-во часов в месяц</t>
  </si>
  <si>
    <t>Стоимость услуг в час</t>
  </si>
  <si>
    <t>Период</t>
  </si>
  <si>
    <t>Кол-во мес.</t>
  </si>
  <si>
    <t xml:space="preserve">Автотранспорт по Туре (горный , местный порт)  </t>
  </si>
  <si>
    <t xml:space="preserve">зимний </t>
  </si>
  <si>
    <t xml:space="preserve">летний </t>
  </si>
  <si>
    <t xml:space="preserve">Автотранспорт Красноярск-аэропорт-гостиница </t>
  </si>
  <si>
    <t xml:space="preserve">(Автотранспорт) Тура горный , местный порт, Красноярск от аэропорта до гостиницы </t>
  </si>
  <si>
    <t xml:space="preserve">межгород </t>
  </si>
  <si>
    <t xml:space="preserve">Между поселками </t>
  </si>
  <si>
    <t xml:space="preserve">обслуживание пожарной сигнализации  СДК Нидым  </t>
  </si>
  <si>
    <t>8</t>
  </si>
  <si>
    <t>ватман</t>
  </si>
  <si>
    <t>3. Норматив затрат на прочие общехозяйственные нужды.</t>
  </si>
  <si>
    <t>3.1. Норматив затрат на охрану помещения:</t>
  </si>
  <si>
    <t>6. Норматив затрат на прочие общехозяйственные нужды.</t>
  </si>
  <si>
    <t>6.1. Норматив затрат на охрану помещения:</t>
  </si>
  <si>
    <t>6.2. Норматив затрат на уплату налогов:</t>
  </si>
  <si>
    <t>6.3. Норматив затрат на льготный проезд:</t>
  </si>
  <si>
    <t>6.4. Норматив затрат по командировочным расходам:</t>
  </si>
  <si>
    <t>6.5.Норматив затрат   по прочим  услугам:</t>
  </si>
  <si>
    <t>3.Норматив затрат на транспортные расходы:</t>
  </si>
  <si>
    <t>4. Норматив затрат на прочие общехозяйственные нужды.</t>
  </si>
  <si>
    <t>4.1. Норматив затрат на льготный проезд:</t>
  </si>
  <si>
    <t>4.2.Норматив затрат   по прочим  услугам:</t>
  </si>
  <si>
    <t>(Земельный налог)</t>
  </si>
  <si>
    <t>Наименование</t>
  </si>
  <si>
    <t>Суточные</t>
  </si>
  <si>
    <t>Проживание</t>
  </si>
  <si>
    <t>Кузьмина К.Ю.</t>
  </si>
  <si>
    <t>Тура-Красноярск-Кемерово -Красноярск-Тура</t>
  </si>
  <si>
    <t>3.1. Проезд заочников к месту учебы:</t>
  </si>
  <si>
    <t>Аптечка</t>
  </si>
  <si>
    <r>
      <rPr>
        <b/>
        <sz val="12"/>
        <color indexed="8"/>
        <rFont val="Times New Roman"/>
        <family val="1"/>
        <charset val="204"/>
      </rPr>
      <t>ВСЕГО</t>
    </r>
    <r>
      <rPr>
        <sz val="12"/>
        <color indexed="8"/>
        <rFont val="Times New Roman"/>
        <family val="1"/>
        <charset val="204"/>
      </rPr>
      <t xml:space="preserve"> нормативзатрат на выполнение муниципального задания:</t>
    </r>
  </si>
  <si>
    <t>Маршрут</t>
  </si>
  <si>
    <t>Тура-Красноярск-Москва</t>
  </si>
  <si>
    <t>Воробьева С.В.</t>
  </si>
  <si>
    <t>Владимирова Н.А.</t>
  </si>
  <si>
    <t>Ким М.И.</t>
  </si>
  <si>
    <t>Килина М.В.</t>
  </si>
  <si>
    <t>Гулящих М.М.</t>
  </si>
  <si>
    <t>Тура-Красноярск-Новосибирск</t>
  </si>
  <si>
    <t xml:space="preserve">Тура-Красноярск-Анапа </t>
  </si>
  <si>
    <t>Федорова А.И.</t>
  </si>
  <si>
    <t>Эспек О.Е.</t>
  </si>
  <si>
    <t>Сумаков В.П.</t>
  </si>
  <si>
    <t>Тура-Красноярск-Санкт-Петербург</t>
  </si>
  <si>
    <t>Тура-Красноярск-Владивосток</t>
  </si>
  <si>
    <t>3.2. Проезд заочников к месту учебы:</t>
  </si>
  <si>
    <t>3.3. Норматив затрат на льготный проезд:</t>
  </si>
  <si>
    <t>3.4. Норматив затрат по командировочным расходам:</t>
  </si>
  <si>
    <t>3.5.Норматив затрат   по прочим  услугам:</t>
  </si>
  <si>
    <t>Тура-Красноярск "Сибирская глубинка" Хор Рябинушка</t>
  </si>
  <si>
    <t xml:space="preserve">Тура-Красноярск-Улан-Удэ Аглакан "Гончикова" </t>
  </si>
  <si>
    <t>Тура - Суринда- Тура (День оленевода) Осиктакан</t>
  </si>
  <si>
    <t>Тура-Красноярск- Тура (Ромашка) конкурс танцевальные смешилки</t>
  </si>
  <si>
    <t>17*12500*2</t>
  </si>
  <si>
    <t>(12500+2000)*24*2</t>
  </si>
  <si>
    <t>24*12500*2</t>
  </si>
  <si>
    <t>(12500+1500)*12*2</t>
  </si>
  <si>
    <t>14*3674,29*2</t>
  </si>
  <si>
    <t>(22*9100*2)+(4*13000*2)</t>
  </si>
  <si>
    <t>(8370+13500)*12*2</t>
  </si>
  <si>
    <t>(Штрафы, пени за несвоевременную уплату налогов, сборов, страховых взносов)</t>
  </si>
  <si>
    <t xml:space="preserve">обслуживание пожарной сигнализации  СДК Юкта  </t>
  </si>
  <si>
    <t xml:space="preserve">обслуживание пожарной сигнализации  СДК Кислокан  </t>
  </si>
  <si>
    <t xml:space="preserve">обслуживание пожарной сигнализации  СДК Учами  </t>
  </si>
  <si>
    <t xml:space="preserve">обслуживание пожарной сигнализации  СДК Чиринда  </t>
  </si>
  <si>
    <t xml:space="preserve">обслуживание пожарной сигнализации  СДК Ессей  </t>
  </si>
  <si>
    <t>Обслуживание видео наблюдения СДК Юкта</t>
  </si>
  <si>
    <t>Ессей-Тура-Красноярск "Я люблю тебя Россия!" Хотугу сулус</t>
  </si>
  <si>
    <t>Ессей-Тура "Зори" Хотугу сулус</t>
  </si>
  <si>
    <t>Чиринда -Тура "Зори" Чириндинка</t>
  </si>
  <si>
    <t xml:space="preserve">Эконда -Тура "Зори" </t>
  </si>
  <si>
    <t>Удыгир М.С.</t>
  </si>
  <si>
    <t>Тура-Красноярск -Красноярск-Тура</t>
  </si>
  <si>
    <t>Юрова Е.А.</t>
  </si>
  <si>
    <t>Болдырева В.Ю.</t>
  </si>
  <si>
    <t>Омурбек У.Б</t>
  </si>
  <si>
    <t>Салаткин С.Г.</t>
  </si>
  <si>
    <t>Пайбердин В.Я.</t>
  </si>
  <si>
    <t>Толонбаев А. Т.</t>
  </si>
  <si>
    <t>Увачан Ю.Б.</t>
  </si>
  <si>
    <t>Юкта-Тура-Красноярск-Симферополь</t>
  </si>
  <si>
    <t>Елдогир Т.И.</t>
  </si>
  <si>
    <t>Елдогир В.В.</t>
  </si>
  <si>
    <t>Жук И.П.</t>
  </si>
  <si>
    <t>Панкагир В.Е.</t>
  </si>
  <si>
    <t>Хисориев Д.Ф.</t>
  </si>
  <si>
    <t>Фомина Т.И.</t>
  </si>
  <si>
    <t>Эспек М.А.</t>
  </si>
  <si>
    <t>Эконда-Тура-Красноярск-Сочи</t>
  </si>
  <si>
    <t>Ботулу К.С.</t>
  </si>
  <si>
    <t>Оплата услуг телефонной, сетевой, интренет связи</t>
  </si>
  <si>
    <t>предоставление услуги Интернет 35000</t>
  </si>
  <si>
    <t>поддержка эл. Почты ( Тура 12+8 СДК)</t>
  </si>
  <si>
    <t>конверты</t>
  </si>
  <si>
    <t>Един. измер.</t>
  </si>
  <si>
    <t>1</t>
  </si>
  <si>
    <t>2</t>
  </si>
  <si>
    <t>3</t>
  </si>
  <si>
    <t>мб</t>
  </si>
  <si>
    <t>4</t>
  </si>
  <si>
    <t>5</t>
  </si>
  <si>
    <t>6</t>
  </si>
  <si>
    <t>7</t>
  </si>
  <si>
    <t>шт</t>
  </si>
  <si>
    <t>9</t>
  </si>
  <si>
    <t>10</t>
  </si>
  <si>
    <t>11</t>
  </si>
  <si>
    <t xml:space="preserve">Тура-Красноярск Хор ветеранов "Сибирская глубинка" </t>
  </si>
  <si>
    <t xml:space="preserve">Тура-Красноярск- Шушенское Осиктакан "Мир Сибири" </t>
  </si>
  <si>
    <t xml:space="preserve">обслуживание пожарной сигнализации  СДК Тутончаны  </t>
  </si>
  <si>
    <t>Обслуживание видео наблюдения СДК Тутончаны</t>
  </si>
  <si>
    <t>Обслуживание видео наблюдения СДК Чиринда</t>
  </si>
  <si>
    <t xml:space="preserve">Обслуживание пункта теплового учета  советская д. 10 </t>
  </si>
  <si>
    <t>Вывоз ТБО 6м.куб*12*1136,66</t>
  </si>
  <si>
    <t>вывоз ТБО 2м.куб.*1136,66</t>
  </si>
  <si>
    <t>Подписка на периодические издания 2*27500,00</t>
  </si>
  <si>
    <t>Повышение квалификации (8*11500)</t>
  </si>
  <si>
    <t>Организационные взносы 3*5000,00</t>
  </si>
  <si>
    <t>Периодический мед осмотр 66*2500,00</t>
  </si>
  <si>
    <t xml:space="preserve">Услуги по монтажу и установки баннеров </t>
  </si>
  <si>
    <t>неисключительная лицензия на ипользование аудиовизуальных произведений</t>
  </si>
  <si>
    <t xml:space="preserve">Утилизация и транспортировка отходов I-IV класса опасности </t>
  </si>
  <si>
    <t xml:space="preserve">Установка и продление программ охрана труда </t>
  </si>
  <si>
    <t>Установка и продление программ ГосЗаказ , Культура</t>
  </si>
  <si>
    <t>Продление  и сопровождение(обучение) 1С-предприятие, контур, ПФР-6</t>
  </si>
  <si>
    <t xml:space="preserve">Антивирус </t>
  </si>
  <si>
    <t>Монитор и системный блок</t>
  </si>
  <si>
    <t>110000</t>
  </si>
  <si>
    <t xml:space="preserve">Столы </t>
  </si>
  <si>
    <t>18000</t>
  </si>
  <si>
    <t xml:space="preserve">Шкафы </t>
  </si>
  <si>
    <t>Сейф</t>
  </si>
  <si>
    <t>Установка пожарной сигнализации (помещение бывшей библиотеки)</t>
  </si>
  <si>
    <t>Межсетевой интернет контроль сервер</t>
  </si>
  <si>
    <t>маркеры</t>
  </si>
  <si>
    <t>Банер</t>
  </si>
  <si>
    <t xml:space="preserve">Обувь танцевальная </t>
  </si>
  <si>
    <t>Колготки капроновые для танца</t>
  </si>
  <si>
    <t>Число посетителей(плановое задание 2020года)</t>
  </si>
  <si>
    <t xml:space="preserve">                     на 2023 год </t>
  </si>
</sst>
</file>

<file path=xl/styles.xml><?xml version="1.0" encoding="utf-8"?>
<styleSheet xmlns="http://schemas.openxmlformats.org/spreadsheetml/2006/main">
  <numFmts count="9">
    <numFmt numFmtId="164" formatCode="#,##0&quot;р.&quot;;[Red]\-#,##0&quot;р.&quot;"/>
    <numFmt numFmtId="165" formatCode="_-* #,##0.00&quot;р.&quot;_-;\-* #,##0.00&quot;р.&quot;_-;_-* &quot;-&quot;??&quot;р.&quot;_-;_-@_-"/>
    <numFmt numFmtId="166" formatCode="0.00000"/>
    <numFmt numFmtId="167" formatCode="0.0"/>
    <numFmt numFmtId="168" formatCode="0.000"/>
    <numFmt numFmtId="169" formatCode="0.0000000000"/>
    <numFmt numFmtId="170" formatCode="0.000000E+00"/>
    <numFmt numFmtId="171" formatCode="#,##0.0"/>
    <numFmt numFmtId="172" formatCode="#,##0.00&quot;р.&quot;"/>
  </numFmts>
  <fonts count="3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b/>
      <sz val="11"/>
      <color rgb="FF1F497D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1F497D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Cambria"/>
      <family val="1"/>
      <charset val="204"/>
    </font>
    <font>
      <b/>
      <sz val="10"/>
      <color rgb="FF000000"/>
      <name val="Cambria"/>
      <family val="1"/>
      <charset val="204"/>
    </font>
    <font>
      <b/>
      <sz val="9"/>
      <color rgb="FF000000"/>
      <name val="Cambria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CE6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4" fillId="0" borderId="0"/>
    <xf numFmtId="0" fontId="24" fillId="0" borderId="0"/>
    <xf numFmtId="0" fontId="26" fillId="0" borderId="0"/>
    <xf numFmtId="0" fontId="24" fillId="0" borderId="0"/>
  </cellStyleXfs>
  <cellXfs count="446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4" fillId="2" borderId="9" xfId="0" applyFont="1" applyFill="1" applyBorder="1" applyAlignment="1">
      <alignment horizontal="center" vertical="center" wrapText="1" readingOrder="1"/>
    </xf>
    <xf numFmtId="3" fontId="6" fillId="2" borderId="10" xfId="0" applyNumberFormat="1" applyFont="1" applyFill="1" applyBorder="1" applyAlignment="1">
      <alignment horizontal="center" vertical="center" wrapText="1" readingOrder="1"/>
    </xf>
    <xf numFmtId="0" fontId="4" fillId="2" borderId="12" xfId="0" applyFont="1" applyFill="1" applyBorder="1" applyAlignment="1">
      <alignment horizontal="center" vertical="center" wrapText="1" readingOrder="1"/>
    </xf>
    <xf numFmtId="0" fontId="4" fillId="2" borderId="12" xfId="0" applyFont="1" applyFill="1" applyBorder="1" applyAlignment="1">
      <alignment horizontal="center" vertical="top" wrapText="1" readingOrder="1"/>
    </xf>
    <xf numFmtId="0" fontId="4" fillId="2" borderId="13" xfId="0" applyFont="1" applyFill="1" applyBorder="1" applyAlignment="1">
      <alignment horizontal="center" vertical="center" wrapText="1" readingOrder="1"/>
    </xf>
    <xf numFmtId="0" fontId="11" fillId="4" borderId="17" xfId="0" applyFont="1" applyFill="1" applyBorder="1" applyAlignment="1">
      <alignment horizontal="center" vertical="center" wrapText="1" readingOrder="1"/>
    </xf>
    <xf numFmtId="0" fontId="4" fillId="2" borderId="1" xfId="0" applyFont="1" applyFill="1" applyBorder="1" applyAlignment="1">
      <alignment horizontal="center" vertical="center" wrapText="1" readingOrder="1"/>
    </xf>
    <xf numFmtId="0" fontId="7" fillId="0" borderId="0" xfId="0" applyFont="1" applyAlignment="1">
      <alignment horizontal="left" vertical="center" readingOrder="1"/>
    </xf>
    <xf numFmtId="0" fontId="4" fillId="3" borderId="8" xfId="0" applyFont="1" applyFill="1" applyBorder="1" applyAlignment="1">
      <alignment horizontal="center" vertical="center" wrapText="1" readingOrder="1"/>
    </xf>
    <xf numFmtId="0" fontId="2" fillId="2" borderId="11" xfId="0" applyFont="1" applyFill="1" applyBorder="1" applyAlignment="1">
      <alignment horizontal="justify" vertical="top" wrapText="1" readingOrder="1"/>
    </xf>
    <xf numFmtId="0" fontId="7" fillId="0" borderId="0" xfId="0" applyFont="1" applyAlignment="1">
      <alignment vertical="center" wrapText="1" readingOrder="1"/>
    </xf>
    <xf numFmtId="0" fontId="4" fillId="0" borderId="0" xfId="0" applyFont="1" applyAlignment="1">
      <alignment vertical="center" wrapText="1" readingOrder="1"/>
    </xf>
    <xf numFmtId="0" fontId="4" fillId="0" borderId="1" xfId="0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justify" vertical="center" wrapText="1" readingOrder="1"/>
    </xf>
    <xf numFmtId="4" fontId="4" fillId="0" borderId="1" xfId="0" applyNumberFormat="1" applyFont="1" applyFill="1" applyBorder="1" applyAlignment="1">
      <alignment horizontal="center" vertical="center" wrapText="1" readingOrder="1"/>
    </xf>
    <xf numFmtId="0" fontId="0" fillId="0" borderId="0" xfId="0" applyFont="1"/>
    <xf numFmtId="0" fontId="4" fillId="0" borderId="1" xfId="0" applyFont="1" applyFill="1" applyBorder="1" applyAlignment="1">
      <alignment horizontal="left" vertical="center" wrapText="1" readingOrder="1"/>
    </xf>
    <xf numFmtId="0" fontId="4" fillId="0" borderId="1" xfId="0" applyFont="1" applyFill="1" applyBorder="1" applyAlignment="1">
      <alignment horizontal="left" vertical="top" wrapText="1" readingOrder="1"/>
    </xf>
    <xf numFmtId="2" fontId="11" fillId="4" borderId="1" xfId="0" applyNumberFormat="1" applyFont="1" applyFill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wrapText="1"/>
    </xf>
    <xf numFmtId="0" fontId="4" fillId="0" borderId="1" xfId="0" applyFont="1" applyFill="1" applyBorder="1" applyAlignment="1">
      <alignment horizontal="center" vertical="center" wrapText="1" readingOrder="1"/>
    </xf>
    <xf numFmtId="4" fontId="0" fillId="0" borderId="0" xfId="0" applyNumberFormat="1"/>
    <xf numFmtId="4" fontId="3" fillId="0" borderId="1" xfId="0" applyNumberFormat="1" applyFont="1" applyBorder="1" applyAlignment="1">
      <alignment horizontal="right" vertical="center" wrapText="1"/>
    </xf>
    <xf numFmtId="0" fontId="16" fillId="0" borderId="0" xfId="0" applyFont="1" applyFill="1" applyBorder="1" applyAlignment="1">
      <alignment vertical="center" wrapText="1"/>
    </xf>
    <xf numFmtId="4" fontId="16" fillId="0" borderId="0" xfId="0" applyNumberFormat="1" applyFont="1" applyFill="1" applyBorder="1" applyAlignment="1">
      <alignment vertical="center" wrapText="1"/>
    </xf>
    <xf numFmtId="4" fontId="17" fillId="0" borderId="0" xfId="0" applyNumberFormat="1" applyFont="1" applyAlignment="1">
      <alignment horizontal="left" vertical="center" wrapText="1"/>
    </xf>
    <xf numFmtId="4" fontId="18" fillId="0" borderId="0" xfId="0" applyNumberFormat="1" applyFont="1" applyAlignment="1">
      <alignment horizontal="left" vertical="center" wrapText="1"/>
    </xf>
    <xf numFmtId="4" fontId="17" fillId="0" borderId="19" xfId="0" applyNumberFormat="1" applyFont="1" applyFill="1" applyBorder="1" applyAlignment="1">
      <alignment horizontal="left" vertical="center" wrapText="1"/>
    </xf>
    <xf numFmtId="4" fontId="15" fillId="0" borderId="0" xfId="0" applyNumberFormat="1" applyFont="1" applyAlignment="1">
      <alignment horizontal="left" wrapText="1"/>
    </xf>
    <xf numFmtId="4" fontId="18" fillId="0" borderId="0" xfId="0" applyNumberFormat="1" applyFont="1" applyAlignment="1">
      <alignment horizontal="left" wrapText="1"/>
    </xf>
    <xf numFmtId="4" fontId="18" fillId="0" borderId="0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 readingOrder="1"/>
    </xf>
    <xf numFmtId="166" fontId="4" fillId="0" borderId="1" xfId="0" applyNumberFormat="1" applyFont="1" applyFill="1" applyBorder="1" applyAlignment="1">
      <alignment horizontal="center" vertical="center" wrapText="1" readingOrder="1"/>
    </xf>
    <xf numFmtId="2" fontId="4" fillId="0" borderId="1" xfId="0" applyNumberFormat="1" applyFont="1" applyFill="1" applyBorder="1" applyAlignment="1">
      <alignment horizontal="center" vertical="center" wrapText="1" readingOrder="1"/>
    </xf>
    <xf numFmtId="167" fontId="4" fillId="0" borderId="1" xfId="0" applyNumberFormat="1" applyFont="1" applyFill="1" applyBorder="1" applyAlignment="1">
      <alignment horizontal="center" vertical="center" wrapText="1" readingOrder="1"/>
    </xf>
    <xf numFmtId="0" fontId="21" fillId="0" borderId="1" xfId="0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 wrapText="1" readingOrder="1"/>
    </xf>
    <xf numFmtId="0" fontId="0" fillId="0" borderId="1" xfId="0" applyFont="1" applyBorder="1"/>
    <xf numFmtId="4" fontId="21" fillId="0" borderId="1" xfId="0" applyNumberFormat="1" applyFont="1" applyFill="1" applyBorder="1" applyAlignment="1">
      <alignment horizontal="center"/>
    </xf>
    <xf numFmtId="2" fontId="9" fillId="4" borderId="1" xfId="0" applyNumberFormat="1" applyFont="1" applyFill="1" applyBorder="1" applyAlignment="1">
      <alignment horizontal="center" vertical="center" wrapText="1" readingOrder="1"/>
    </xf>
    <xf numFmtId="4" fontId="11" fillId="4" borderId="1" xfId="0" applyNumberFormat="1" applyFont="1" applyFill="1" applyBorder="1" applyAlignment="1">
      <alignment horizontal="center" vertical="center" wrapText="1" readingOrder="1"/>
    </xf>
    <xf numFmtId="0" fontId="0" fillId="5" borderId="0" xfId="0" applyFill="1"/>
    <xf numFmtId="0" fontId="21" fillId="5" borderId="0" xfId="0" applyFont="1" applyFill="1" applyAlignment="1"/>
    <xf numFmtId="0" fontId="23" fillId="5" borderId="0" xfId="0" applyFont="1" applyFill="1" applyAlignment="1">
      <alignment horizontal="center"/>
    </xf>
    <xf numFmtId="171" fontId="3" fillId="5" borderId="0" xfId="0" applyNumberFormat="1" applyFont="1" applyFill="1"/>
    <xf numFmtId="0" fontId="3" fillId="5" borderId="0" xfId="0" applyFont="1" applyFill="1"/>
    <xf numFmtId="165" fontId="23" fillId="5" borderId="0" xfId="0" applyNumberFormat="1" applyFont="1" applyFill="1"/>
    <xf numFmtId="0" fontId="3" fillId="5" borderId="0" xfId="0" applyFont="1" applyFill="1" applyBorder="1" applyAlignment="1">
      <alignment horizontal="center" wrapText="1"/>
    </xf>
    <xf numFmtId="0" fontId="3" fillId="5" borderId="0" xfId="0" applyFont="1" applyFill="1" applyBorder="1" applyAlignment="1">
      <alignment horizontal="center"/>
    </xf>
    <xf numFmtId="2" fontId="3" fillId="5" borderId="0" xfId="0" applyNumberFormat="1" applyFont="1" applyFill="1" applyBorder="1" applyAlignment="1">
      <alignment horizontal="center"/>
    </xf>
    <xf numFmtId="4" fontId="23" fillId="5" borderId="0" xfId="0" applyNumberFormat="1" applyFont="1" applyFill="1" applyBorder="1" applyAlignment="1"/>
    <xf numFmtId="0" fontId="3" fillId="5" borderId="0" xfId="0" applyFont="1" applyFill="1" applyAlignment="1">
      <alignment horizontal="center" vertical="center"/>
    </xf>
    <xf numFmtId="0" fontId="21" fillId="5" borderId="0" xfId="0" applyFont="1" applyFill="1" applyAlignment="1">
      <alignment horizontal="center" vertical="center"/>
    </xf>
    <xf numFmtId="0" fontId="23" fillId="5" borderId="0" xfId="0" applyFont="1" applyFill="1" applyAlignment="1">
      <alignment horizontal="center" vertical="center"/>
    </xf>
    <xf numFmtId="171" fontId="3" fillId="5" borderId="0" xfId="0" applyNumberFormat="1" applyFont="1" applyFill="1" applyAlignment="1">
      <alignment horizontal="center" vertical="center"/>
    </xf>
    <xf numFmtId="165" fontId="23" fillId="5" borderId="0" xfId="0" applyNumberFormat="1" applyFont="1" applyFill="1" applyAlignment="1">
      <alignment horizontal="center" vertical="center"/>
    </xf>
    <xf numFmtId="0" fontId="0" fillId="5" borderId="0" xfId="0" applyFill="1" applyAlignment="1">
      <alignment horizontal="center"/>
    </xf>
    <xf numFmtId="4" fontId="21" fillId="5" borderId="0" xfId="1" applyNumberFormat="1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vertical="center" wrapText="1"/>
    </xf>
    <xf numFmtId="4" fontId="21" fillId="5" borderId="0" xfId="0" applyNumberFormat="1" applyFont="1" applyFill="1" applyBorder="1" applyAlignment="1">
      <alignment horizontal="left" vertical="center" wrapText="1"/>
    </xf>
    <xf numFmtId="0" fontId="21" fillId="5" borderId="0" xfId="2" applyFont="1" applyFill="1" applyBorder="1" applyAlignment="1">
      <alignment horizontal="center" vertical="center" wrapText="1"/>
    </xf>
    <xf numFmtId="4" fontId="21" fillId="5" borderId="1" xfId="0" applyNumberFormat="1" applyFont="1" applyFill="1" applyBorder="1" applyAlignment="1">
      <alignment horizontal="center" vertical="center"/>
    </xf>
    <xf numFmtId="0" fontId="21" fillId="5" borderId="1" xfId="0" applyFont="1" applyFill="1" applyBorder="1" applyAlignment="1">
      <alignment horizontal="center"/>
    </xf>
    <xf numFmtId="4" fontId="23" fillId="5" borderId="1" xfId="0" applyNumberFormat="1" applyFont="1" applyFill="1" applyBorder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justify" vertical="center"/>
    </xf>
    <xf numFmtId="0" fontId="21" fillId="5" borderId="0" xfId="0" applyFont="1" applyFill="1"/>
    <xf numFmtId="0" fontId="21" fillId="5" borderId="0" xfId="0" applyFont="1" applyFill="1" applyAlignment="1">
      <alignment horizontal="right"/>
    </xf>
    <xf numFmtId="171" fontId="23" fillId="5" borderId="0" xfId="0" applyNumberFormat="1" applyFont="1" applyFill="1"/>
    <xf numFmtId="0" fontId="23" fillId="5" borderId="0" xfId="0" applyFont="1" applyFill="1"/>
    <xf numFmtId="0" fontId="23" fillId="5" borderId="0" xfId="0" applyFont="1" applyFill="1" applyAlignment="1">
      <alignment horizontal="right"/>
    </xf>
    <xf numFmtId="0" fontId="3" fillId="5" borderId="1" xfId="0" applyFont="1" applyFill="1" applyBorder="1" applyAlignment="1">
      <alignment horizontal="center"/>
    </xf>
    <xf numFmtId="4" fontId="23" fillId="5" borderId="1" xfId="0" applyNumberFormat="1" applyFont="1" applyFill="1" applyBorder="1" applyAlignment="1">
      <alignment horizontal="center"/>
    </xf>
    <xf numFmtId="4" fontId="3" fillId="5" borderId="0" xfId="0" applyNumberFormat="1" applyFont="1" applyFill="1" applyBorder="1" applyAlignment="1">
      <alignment horizontal="center"/>
    </xf>
    <xf numFmtId="1" fontId="3" fillId="5" borderId="0" xfId="0" applyNumberFormat="1" applyFont="1" applyFill="1" applyBorder="1" applyAlignment="1">
      <alignment horizontal="center"/>
    </xf>
    <xf numFmtId="4" fontId="3" fillId="5" borderId="0" xfId="0" applyNumberFormat="1" applyFont="1" applyFill="1" applyBorder="1" applyAlignment="1"/>
    <xf numFmtId="4" fontId="3" fillId="5" borderId="0" xfId="0" applyNumberFormat="1" applyFont="1" applyFill="1" applyBorder="1"/>
    <xf numFmtId="4" fontId="28" fillId="5" borderId="0" xfId="0" applyNumberFormat="1" applyFont="1" applyFill="1" applyBorder="1"/>
    <xf numFmtId="0" fontId="3" fillId="5" borderId="0" xfId="0" applyFont="1" applyFill="1" applyBorder="1"/>
    <xf numFmtId="2" fontId="21" fillId="5" borderId="0" xfId="0" applyNumberFormat="1" applyFont="1" applyFill="1" applyBorder="1" applyAlignment="1">
      <alignment horizontal="left"/>
    </xf>
    <xf numFmtId="2" fontId="23" fillId="5" borderId="0" xfId="0" applyNumberFormat="1" applyFont="1" applyFill="1" applyBorder="1"/>
    <xf numFmtId="0" fontId="3" fillId="5" borderId="0" xfId="0" applyFont="1" applyFill="1" applyAlignment="1"/>
    <xf numFmtId="164" fontId="3" fillId="5" borderId="0" xfId="0" applyNumberFormat="1" applyFont="1" applyFill="1"/>
    <xf numFmtId="0" fontId="3" fillId="5" borderId="24" xfId="0" applyFont="1" applyFill="1" applyBorder="1" applyAlignment="1">
      <alignment horizontal="center"/>
    </xf>
    <xf numFmtId="0" fontId="3" fillId="5" borderId="0" xfId="0" applyFont="1" applyFill="1" applyBorder="1" applyAlignment="1"/>
    <xf numFmtId="4" fontId="23" fillId="5" borderId="0" xfId="0" applyNumberFormat="1" applyFont="1" applyFill="1" applyBorder="1" applyAlignment="1">
      <alignment horizontal="right"/>
    </xf>
    <xf numFmtId="4" fontId="28" fillId="5" borderId="1" xfId="0" applyNumberFormat="1" applyFont="1" applyFill="1" applyBorder="1" applyAlignment="1">
      <alignment horizontal="center"/>
    </xf>
    <xf numFmtId="4" fontId="21" fillId="5" borderId="0" xfId="0" applyNumberFormat="1" applyFont="1" applyFill="1"/>
    <xf numFmtId="0" fontId="21" fillId="5" borderId="0" xfId="0" applyFont="1" applyFill="1" applyBorder="1"/>
    <xf numFmtId="0" fontId="23" fillId="5" borderId="0" xfId="0" applyFont="1" applyFill="1" applyBorder="1"/>
    <xf numFmtId="4" fontId="3" fillId="5" borderId="0" xfId="0" applyNumberFormat="1" applyFont="1" applyFill="1"/>
    <xf numFmtId="2" fontId="28" fillId="5" borderId="0" xfId="0" applyNumberFormat="1" applyFont="1" applyFill="1"/>
    <xf numFmtId="0" fontId="21" fillId="5" borderId="0" xfId="0" applyFont="1" applyFill="1" applyAlignment="1">
      <alignment vertical="center" wrapText="1"/>
    </xf>
    <xf numFmtId="4" fontId="23" fillId="5" borderId="0" xfId="0" applyNumberFormat="1" applyFont="1" applyFill="1" applyBorder="1" applyAlignment="1">
      <alignment vertical="center"/>
    </xf>
    <xf numFmtId="4" fontId="23" fillId="5" borderId="0" xfId="0" applyNumberFormat="1" applyFont="1" applyFill="1"/>
    <xf numFmtId="4" fontId="28" fillId="5" borderId="0" xfId="0" applyNumberFormat="1" applyFont="1" applyFill="1" applyBorder="1" applyAlignment="1">
      <alignment horizontal="center"/>
    </xf>
    <xf numFmtId="0" fontId="3" fillId="5" borderId="5" xfId="0" applyFont="1" applyFill="1" applyBorder="1" applyAlignment="1"/>
    <xf numFmtId="165" fontId="3" fillId="5" borderId="0" xfId="0" applyNumberFormat="1" applyFont="1" applyFill="1"/>
    <xf numFmtId="0" fontId="3" fillId="5" borderId="0" xfId="0" applyFont="1" applyFill="1" applyBorder="1" applyAlignment="1">
      <alignment horizontal="center" vertical="center"/>
    </xf>
    <xf numFmtId="0" fontId="21" fillId="5" borderId="0" xfId="0" applyFont="1" applyFill="1" applyBorder="1" applyAlignment="1">
      <alignment horizontal="left" vertical="center" wrapText="1"/>
    </xf>
    <xf numFmtId="0" fontId="21" fillId="5" borderId="0" xfId="0" applyFont="1" applyFill="1" applyBorder="1" applyAlignment="1">
      <alignment horizontal="left" wrapText="1"/>
    </xf>
    <xf numFmtId="4" fontId="21" fillId="5" borderId="0" xfId="0" applyNumberFormat="1" applyFont="1" applyFill="1" applyBorder="1" applyAlignment="1">
      <alignment horizontal="center" vertical="center"/>
    </xf>
    <xf numFmtId="4" fontId="28" fillId="5" borderId="0" xfId="0" applyNumberFormat="1" applyFont="1" applyFill="1" applyAlignment="1">
      <alignment horizontal="center"/>
    </xf>
    <xf numFmtId="4" fontId="3" fillId="5" borderId="0" xfId="0" applyNumberFormat="1" applyFont="1" applyFill="1" applyAlignment="1">
      <alignment vertical="center"/>
    </xf>
    <xf numFmtId="4" fontId="3" fillId="5" borderId="0" xfId="0" applyNumberFormat="1" applyFont="1" applyFill="1" applyAlignment="1"/>
    <xf numFmtId="4" fontId="3" fillId="5" borderId="0" xfId="0" applyNumberFormat="1" applyFont="1" applyFill="1" applyAlignment="1">
      <alignment horizontal="center" vertical="center"/>
    </xf>
    <xf numFmtId="4" fontId="3" fillId="5" borderId="0" xfId="0" applyNumberFormat="1" applyFont="1" applyFill="1" applyAlignment="1">
      <alignment horizontal="center"/>
    </xf>
    <xf numFmtId="4" fontId="21" fillId="5" borderId="0" xfId="0" applyNumberFormat="1" applyFont="1" applyFill="1" applyAlignment="1">
      <alignment horizontal="center"/>
    </xf>
    <xf numFmtId="172" fontId="21" fillId="5" borderId="0" xfId="0" applyNumberFormat="1" applyFont="1" applyFill="1" applyBorder="1" applyAlignment="1">
      <alignment horizontal="center" vertical="center" wrapText="1"/>
    </xf>
    <xf numFmtId="49" fontId="3" fillId="5" borderId="0" xfId="0" applyNumberFormat="1" applyFont="1" applyFill="1" applyBorder="1" applyAlignment="1">
      <alignment horizontal="center"/>
    </xf>
    <xf numFmtId="4" fontId="23" fillId="5" borderId="0" xfId="0" applyNumberFormat="1" applyFont="1" applyFill="1" applyBorder="1" applyAlignment="1">
      <alignment horizontal="center"/>
    </xf>
    <xf numFmtId="4" fontId="21" fillId="5" borderId="0" xfId="0" applyNumberFormat="1" applyFont="1" applyFill="1" applyBorder="1" applyAlignment="1">
      <alignment horizontal="center"/>
    </xf>
    <xf numFmtId="4" fontId="23" fillId="5" borderId="0" xfId="0" applyNumberFormat="1" applyFont="1" applyFill="1" applyBorder="1"/>
    <xf numFmtId="165" fontId="3" fillId="5" borderId="0" xfId="0" applyNumberFormat="1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 wrapText="1"/>
    </xf>
    <xf numFmtId="4" fontId="3" fillId="5" borderId="0" xfId="0" applyNumberFormat="1" applyFont="1" applyFill="1" applyBorder="1" applyAlignment="1">
      <alignment horizontal="center" vertical="center"/>
    </xf>
    <xf numFmtId="0" fontId="28" fillId="5" borderId="0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4" fontId="28" fillId="5" borderId="0" xfId="0" applyNumberFormat="1" applyFont="1" applyFill="1" applyAlignment="1"/>
    <xf numFmtId="4" fontId="28" fillId="5" borderId="0" xfId="0" applyNumberFormat="1" applyFont="1" applyFill="1"/>
    <xf numFmtId="4" fontId="28" fillId="5" borderId="0" xfId="0" applyNumberFormat="1" applyFont="1" applyFill="1" applyBorder="1" applyAlignment="1">
      <alignment horizontal="center" vertical="center"/>
    </xf>
    <xf numFmtId="0" fontId="28" fillId="5" borderId="0" xfId="0" applyFont="1" applyFill="1" applyAlignment="1"/>
    <xf numFmtId="0" fontId="28" fillId="5" borderId="0" xfId="0" applyFont="1" applyFill="1"/>
    <xf numFmtId="0" fontId="28" fillId="5" borderId="0" xfId="0" applyFont="1" applyFill="1" applyBorder="1"/>
    <xf numFmtId="4" fontId="28" fillId="5" borderId="0" xfId="0" applyNumberFormat="1" applyFont="1" applyFill="1" applyAlignment="1">
      <alignment horizontal="center" vertical="center"/>
    </xf>
    <xf numFmtId="0" fontId="28" fillId="5" borderId="0" xfId="0" applyFont="1" applyFill="1" applyAlignment="1">
      <alignment horizontal="center" vertical="center"/>
    </xf>
    <xf numFmtId="4" fontId="21" fillId="5" borderId="0" xfId="0" applyNumberFormat="1" applyFont="1" applyFill="1" applyBorder="1" applyAlignment="1">
      <alignment horizontal="left" wrapText="1"/>
    </xf>
    <xf numFmtId="0" fontId="28" fillId="5" borderId="0" xfId="0" applyFont="1" applyFill="1" applyBorder="1" applyAlignment="1">
      <alignment horizontal="left"/>
    </xf>
    <xf numFmtId="0" fontId="3" fillId="5" borderId="1" xfId="0" applyFont="1" applyFill="1" applyBorder="1" applyAlignment="1">
      <alignment horizontal="center" vertical="center" wrapText="1"/>
    </xf>
    <xf numFmtId="4" fontId="28" fillId="5" borderId="0" xfId="0" applyNumberFormat="1" applyFont="1" applyFill="1" applyBorder="1" applyAlignment="1"/>
    <xf numFmtId="4" fontId="21" fillId="5" borderId="1" xfId="0" applyNumberFormat="1" applyFont="1" applyFill="1" applyBorder="1" applyAlignment="1">
      <alignment horizontal="center"/>
    </xf>
    <xf numFmtId="0" fontId="3" fillId="5" borderId="1" xfId="0" applyFont="1" applyFill="1" applyBorder="1"/>
    <xf numFmtId="0" fontId="23" fillId="5" borderId="0" xfId="0" applyFont="1" applyFill="1" applyAlignment="1"/>
    <xf numFmtId="0" fontId="3" fillId="5" borderId="1" xfId="0" applyFont="1" applyFill="1" applyBorder="1" applyAlignment="1">
      <alignment vertical="center"/>
    </xf>
    <xf numFmtId="0" fontId="3" fillId="5" borderId="1" xfId="0" applyFont="1" applyFill="1" applyBorder="1" applyAlignment="1">
      <alignment horizontal="center" wrapText="1"/>
    </xf>
    <xf numFmtId="165" fontId="3" fillId="5" borderId="1" xfId="0" applyNumberFormat="1" applyFont="1" applyFill="1" applyBorder="1" applyAlignment="1">
      <alignment horizontal="center" vertical="center"/>
    </xf>
    <xf numFmtId="0" fontId="28" fillId="5" borderId="2" xfId="0" applyFont="1" applyFill="1" applyBorder="1" applyAlignment="1"/>
    <xf numFmtId="0" fontId="28" fillId="5" borderId="3" xfId="0" applyFont="1" applyFill="1" applyBorder="1" applyAlignment="1"/>
    <xf numFmtId="0" fontId="28" fillId="5" borderId="4" xfId="0" applyFont="1" applyFill="1" applyBorder="1" applyAlignment="1"/>
    <xf numFmtId="4" fontId="28" fillId="5" borderId="2" xfId="0" applyNumberFormat="1" applyFont="1" applyFill="1" applyBorder="1" applyAlignment="1"/>
    <xf numFmtId="4" fontId="28" fillId="5" borderId="4" xfId="0" applyNumberFormat="1" applyFont="1" applyFill="1" applyBorder="1" applyAlignment="1"/>
    <xf numFmtId="4" fontId="21" fillId="5" borderId="1" xfId="0" applyNumberFormat="1" applyFont="1" applyFill="1" applyBorder="1" applyAlignment="1">
      <alignment horizontal="center" vertical="center" wrapText="1"/>
    </xf>
    <xf numFmtId="0" fontId="21" fillId="5" borderId="1" xfId="1" applyFont="1" applyFill="1" applyBorder="1" applyAlignment="1">
      <alignment horizontal="center" vertical="top" wrapText="1"/>
    </xf>
    <xf numFmtId="4" fontId="21" fillId="5" borderId="1" xfId="1" applyNumberFormat="1" applyFont="1" applyFill="1" applyBorder="1" applyAlignment="1">
      <alignment horizontal="center" vertical="top" wrapText="1"/>
    </xf>
    <xf numFmtId="49" fontId="27" fillId="5" borderId="1" xfId="0" applyNumberFormat="1" applyFont="1" applyFill="1" applyBorder="1" applyAlignment="1">
      <alignment horizontal="center" vertical="center" wrapText="1"/>
    </xf>
    <xf numFmtId="49" fontId="27" fillId="5" borderId="2" xfId="0" applyNumberFormat="1" applyFont="1" applyFill="1" applyBorder="1" applyAlignment="1">
      <alignment horizontal="center" vertical="center" wrapText="1"/>
    </xf>
    <xf numFmtId="3" fontId="21" fillId="5" borderId="1" xfId="0" applyNumberFormat="1" applyFont="1" applyFill="1" applyBorder="1" applyAlignment="1" applyProtection="1">
      <alignment horizontal="center" vertical="center" wrapText="1"/>
      <protection locked="0"/>
    </xf>
    <xf numFmtId="4" fontId="21" fillId="5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5" borderId="2" xfId="0" applyFont="1" applyFill="1" applyBorder="1" applyAlignment="1">
      <alignment vertical="center"/>
    </xf>
    <xf numFmtId="0" fontId="3" fillId="5" borderId="2" xfId="0" applyFont="1" applyFill="1" applyBorder="1" applyAlignment="1"/>
    <xf numFmtId="0" fontId="3" fillId="5" borderId="3" xfId="0" applyFont="1" applyFill="1" applyBorder="1" applyAlignment="1"/>
    <xf numFmtId="4" fontId="28" fillId="5" borderId="3" xfId="0" applyNumberFormat="1" applyFont="1" applyFill="1" applyBorder="1" applyAlignment="1"/>
    <xf numFmtId="0" fontId="3" fillId="5" borderId="0" xfId="0" applyFont="1" applyFill="1" applyBorder="1" applyAlignment="1">
      <alignment horizontal="left" wrapText="1"/>
    </xf>
    <xf numFmtId="0" fontId="28" fillId="5" borderId="4" xfId="0" applyFont="1" applyFill="1" applyBorder="1" applyAlignment="1">
      <alignment horizontal="left"/>
    </xf>
    <xf numFmtId="0" fontId="21" fillId="5" borderId="2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8" fillId="5" borderId="0" xfId="0" applyFont="1" applyFill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0" xfId="0" applyFont="1" applyFill="1" applyAlignment="1">
      <alignment horizontal="center"/>
    </xf>
    <xf numFmtId="0" fontId="21" fillId="5" borderId="0" xfId="0" applyFont="1" applyFill="1" applyAlignment="1">
      <alignment horizontal="center"/>
    </xf>
    <xf numFmtId="0" fontId="21" fillId="5" borderId="0" xfId="0" applyFont="1" applyFill="1" applyAlignment="1">
      <alignment horizont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left"/>
    </xf>
    <xf numFmtId="0" fontId="3" fillId="5" borderId="2" xfId="0" applyFont="1" applyFill="1" applyBorder="1" applyAlignment="1">
      <alignment horizontal="left" wrapText="1"/>
    </xf>
    <xf numFmtId="0" fontId="3" fillId="5" borderId="4" xfId="0" applyFont="1" applyFill="1" applyBorder="1" applyAlignment="1">
      <alignment horizontal="left" wrapText="1"/>
    </xf>
    <xf numFmtId="0" fontId="3" fillId="5" borderId="1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left" wrapText="1"/>
    </xf>
    <xf numFmtId="0" fontId="3" fillId="5" borderId="3" xfId="0" applyFont="1" applyFill="1" applyBorder="1" applyAlignment="1">
      <alignment vertical="center"/>
    </xf>
    <xf numFmtId="4" fontId="3" fillId="5" borderId="1" xfId="0" applyNumberFormat="1" applyFont="1" applyFill="1" applyBorder="1" applyAlignment="1">
      <alignment horizontal="center"/>
    </xf>
    <xf numFmtId="0" fontId="3" fillId="5" borderId="1" xfId="0" applyFont="1" applyFill="1" applyBorder="1" applyAlignment="1">
      <alignment horizontal="left" wrapText="1"/>
    </xf>
    <xf numFmtId="0" fontId="21" fillId="5" borderId="0" xfId="0" applyFont="1" applyFill="1" applyBorder="1" applyAlignment="1">
      <alignment horizontal="center" vertical="center"/>
    </xf>
    <xf numFmtId="4" fontId="23" fillId="5" borderId="0" xfId="0" applyNumberFormat="1" applyFont="1" applyFill="1" applyBorder="1" applyAlignment="1">
      <alignment horizontal="center" vertical="center"/>
    </xf>
    <xf numFmtId="172" fontId="21" fillId="5" borderId="1" xfId="0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/>
    </xf>
    <xf numFmtId="4" fontId="21" fillId="5" borderId="2" xfId="0" applyNumberFormat="1" applyFont="1" applyFill="1" applyBorder="1" applyAlignment="1">
      <alignment horizontal="center"/>
    </xf>
    <xf numFmtId="4" fontId="21" fillId="5" borderId="1" xfId="0" applyNumberFormat="1" applyFont="1" applyFill="1" applyBorder="1" applyAlignment="1"/>
    <xf numFmtId="0" fontId="21" fillId="5" borderId="1" xfId="0" applyFont="1" applyFill="1" applyBorder="1" applyAlignment="1" applyProtection="1">
      <alignment horizontal="center" vertical="center" wrapText="1"/>
      <protection locked="0"/>
    </xf>
    <xf numFmtId="3" fontId="21" fillId="5" borderId="1" xfId="0" applyNumberFormat="1" applyFont="1" applyFill="1" applyBorder="1" applyAlignment="1">
      <alignment horizontal="center" vertical="center" wrapText="1"/>
    </xf>
    <xf numFmtId="4" fontId="21" fillId="5" borderId="4" xfId="0" applyNumberFormat="1" applyFont="1" applyFill="1" applyBorder="1" applyAlignment="1">
      <alignment horizontal="center" vertical="center"/>
    </xf>
    <xf numFmtId="0" fontId="21" fillId="5" borderId="1" xfId="0" applyFont="1" applyFill="1" applyBorder="1" applyAlignment="1">
      <alignment horizontal="center" vertical="center"/>
    </xf>
    <xf numFmtId="3" fontId="21" fillId="5" borderId="1" xfId="0" applyNumberFormat="1" applyFont="1" applyFill="1" applyBorder="1" applyAlignment="1">
      <alignment horizontal="center" vertical="center"/>
    </xf>
    <xf numFmtId="0" fontId="21" fillId="5" borderId="1" xfId="0" applyFont="1" applyFill="1" applyBorder="1" applyAlignment="1" applyProtection="1">
      <alignment horizontal="center" vertical="center"/>
      <protection locked="0"/>
    </xf>
    <xf numFmtId="0" fontId="21" fillId="5" borderId="2" xfId="0" applyFont="1" applyFill="1" applyBorder="1" applyAlignment="1">
      <alignment horizontal="center" wrapText="1"/>
    </xf>
    <xf numFmtId="0" fontId="21" fillId="5" borderId="4" xfId="0" applyFont="1" applyFill="1" applyBorder="1" applyAlignment="1">
      <alignment horizontal="center" wrapText="1"/>
    </xf>
    <xf numFmtId="172" fontId="21" fillId="5" borderId="1" xfId="0" applyNumberFormat="1" applyFont="1" applyFill="1" applyBorder="1" applyAlignment="1">
      <alignment horizontal="center" wrapText="1"/>
    </xf>
    <xf numFmtId="0" fontId="21" fillId="5" borderId="2" xfId="0" applyFont="1" applyFill="1" applyBorder="1" applyAlignment="1"/>
    <xf numFmtId="0" fontId="21" fillId="5" borderId="3" xfId="0" applyFont="1" applyFill="1" applyBorder="1" applyAlignment="1"/>
    <xf numFmtId="4" fontId="23" fillId="5" borderId="1" xfId="0" applyNumberFormat="1" applyFont="1" applyFill="1" applyBorder="1" applyAlignment="1">
      <alignment horizontal="right"/>
    </xf>
    <xf numFmtId="49" fontId="21" fillId="5" borderId="1" xfId="0" applyNumberFormat="1" applyFont="1" applyFill="1" applyBorder="1" applyAlignment="1">
      <alignment horizontal="center"/>
    </xf>
    <xf numFmtId="0" fontId="21" fillId="5" borderId="1" xfId="0" applyFont="1" applyFill="1" applyBorder="1" applyAlignment="1"/>
    <xf numFmtId="4" fontId="21" fillId="5" borderId="1" xfId="0" applyNumberFormat="1" applyFont="1" applyFill="1" applyBorder="1"/>
    <xf numFmtId="4" fontId="21" fillId="5" borderId="1" xfId="0" applyNumberFormat="1" applyFont="1" applyFill="1" applyBorder="1" applyAlignment="1" applyProtection="1">
      <alignment horizontal="center" vertical="center"/>
      <protection locked="0"/>
    </xf>
    <xf numFmtId="3" fontId="21" fillId="5" borderId="1" xfId="0" applyNumberFormat="1" applyFont="1" applyFill="1" applyBorder="1" applyAlignment="1" applyProtection="1">
      <alignment horizontal="center"/>
      <protection locked="0"/>
    </xf>
    <xf numFmtId="3" fontId="21" fillId="5" borderId="1" xfId="0" applyNumberFormat="1" applyFont="1" applyFill="1" applyBorder="1" applyAlignment="1">
      <alignment horizontal="center"/>
    </xf>
    <xf numFmtId="4" fontId="21" fillId="5" borderId="1" xfId="0" applyNumberFormat="1" applyFont="1" applyFill="1" applyBorder="1" applyAlignment="1" applyProtection="1">
      <alignment horizontal="right"/>
      <protection locked="0"/>
    </xf>
    <xf numFmtId="0" fontId="23" fillId="5" borderId="2" xfId="0" applyFont="1" applyFill="1" applyBorder="1" applyAlignment="1" applyProtection="1">
      <alignment wrapText="1"/>
      <protection locked="0"/>
    </xf>
    <xf numFmtId="0" fontId="23" fillId="5" borderId="3" xfId="0" applyFont="1" applyFill="1" applyBorder="1" applyAlignment="1" applyProtection="1">
      <alignment wrapText="1"/>
      <protection locked="0"/>
    </xf>
    <xf numFmtId="0" fontId="21" fillId="5" borderId="1" xfId="0" applyFont="1" applyFill="1" applyBorder="1" applyAlignment="1" applyProtection="1">
      <alignment horizontal="center"/>
      <protection locked="0"/>
    </xf>
    <xf numFmtId="4" fontId="3" fillId="5" borderId="1" xfId="0" applyNumberFormat="1" applyFont="1" applyFill="1" applyBorder="1" applyAlignment="1">
      <alignment horizontal="center" vertical="center"/>
    </xf>
    <xf numFmtId="0" fontId="25" fillId="5" borderId="1" xfId="0" applyFont="1" applyFill="1" applyBorder="1" applyAlignment="1">
      <alignment horizontal="center" vertical="center" wrapText="1"/>
    </xf>
    <xf numFmtId="4" fontId="21" fillId="5" borderId="1" xfId="1" applyNumberFormat="1" applyFont="1" applyFill="1" applyBorder="1" applyAlignment="1">
      <alignment horizontal="center" vertical="center" wrapText="1"/>
    </xf>
    <xf numFmtId="0" fontId="21" fillId="5" borderId="4" xfId="1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vertical="center" wrapText="1"/>
    </xf>
    <xf numFmtId="4" fontId="23" fillId="5" borderId="1" xfId="1" applyNumberFormat="1" applyFont="1" applyFill="1" applyBorder="1" applyAlignment="1">
      <alignment horizontal="center" vertical="center" wrapText="1"/>
    </xf>
    <xf numFmtId="0" fontId="21" fillId="5" borderId="0" xfId="1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horizontal="center" vertical="center" wrapText="1"/>
    </xf>
    <xf numFmtId="2" fontId="21" fillId="5" borderId="1" xfId="0" applyNumberFormat="1" applyFont="1" applyFill="1" applyBorder="1" applyAlignment="1">
      <alignment horizontal="center" vertical="center"/>
    </xf>
    <xf numFmtId="4" fontId="3" fillId="5" borderId="4" xfId="0" applyNumberFormat="1" applyFont="1" applyFill="1" applyBorder="1" applyAlignment="1">
      <alignment horizontal="center" vertical="center"/>
    </xf>
    <xf numFmtId="4" fontId="28" fillId="5" borderId="4" xfId="0" applyNumberFormat="1" applyFont="1" applyFill="1" applyBorder="1" applyAlignment="1">
      <alignment horizontal="center"/>
    </xf>
    <xf numFmtId="0" fontId="21" fillId="5" borderId="4" xfId="0" applyFont="1" applyFill="1" applyBorder="1" applyAlignment="1">
      <alignment horizontal="center" vertical="center"/>
    </xf>
    <xf numFmtId="0" fontId="21" fillId="5" borderId="3" xfId="0" applyFont="1" applyFill="1" applyBorder="1" applyAlignment="1">
      <alignment horizontal="center" vertical="center"/>
    </xf>
    <xf numFmtId="4" fontId="21" fillId="5" borderId="3" xfId="0" applyNumberFormat="1" applyFont="1" applyFill="1" applyBorder="1" applyAlignment="1">
      <alignment horizontal="center" vertical="center"/>
    </xf>
    <xf numFmtId="4" fontId="21" fillId="5" borderId="4" xfId="1" applyNumberFormat="1" applyFont="1" applyFill="1" applyBorder="1" applyAlignment="1">
      <alignment horizontal="center" vertical="center" wrapText="1"/>
    </xf>
    <xf numFmtId="0" fontId="0" fillId="5" borderId="0" xfId="0" applyFill="1" applyAlignment="1">
      <alignment horizontal="left"/>
    </xf>
    <xf numFmtId="0" fontId="0" fillId="5" borderId="0" xfId="0" applyFill="1" applyAlignment="1">
      <alignment wrapText="1"/>
    </xf>
    <xf numFmtId="0" fontId="1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vertical="center" wrapText="1"/>
    </xf>
    <xf numFmtId="0" fontId="0" fillId="5" borderId="1" xfId="0" applyFill="1" applyBorder="1"/>
    <xf numFmtId="4" fontId="21" fillId="5" borderId="1" xfId="0" applyNumberFormat="1" applyFont="1" applyFill="1" applyBorder="1" applyAlignment="1">
      <alignment horizontal="left" vertical="center" wrapText="1"/>
    </xf>
    <xf numFmtId="0" fontId="25" fillId="5" borderId="1" xfId="0" applyFont="1" applyFill="1" applyBorder="1" applyAlignment="1">
      <alignment vertical="center" wrapText="1"/>
    </xf>
    <xf numFmtId="0" fontId="12" fillId="5" borderId="1" xfId="0" applyFont="1" applyFill="1" applyBorder="1" applyAlignment="1">
      <alignment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4" fontId="21" fillId="5" borderId="1" xfId="0" applyNumberFormat="1" applyFont="1" applyFill="1" applyBorder="1" applyAlignment="1">
      <alignment horizontal="left" wrapText="1"/>
    </xf>
    <xf numFmtId="0" fontId="0" fillId="5" borderId="1" xfId="0" applyFill="1" applyBorder="1" applyAlignment="1">
      <alignment horizontal="center"/>
    </xf>
    <xf numFmtId="0" fontId="0" fillId="5" borderId="1" xfId="0" applyFill="1" applyBorder="1" applyAlignment="1">
      <alignment wrapText="1"/>
    </xf>
    <xf numFmtId="0" fontId="21" fillId="5" borderId="1" xfId="0" applyFont="1" applyFill="1" applyBorder="1" applyAlignment="1">
      <alignment horizontal="left" vertical="center" wrapText="1"/>
    </xf>
    <xf numFmtId="4" fontId="21" fillId="5" borderId="2" xfId="0" applyNumberFormat="1" applyFont="1" applyFill="1" applyBorder="1" applyAlignment="1">
      <alignment horizontal="left" vertical="center" wrapText="1"/>
    </xf>
    <xf numFmtId="0" fontId="21" fillId="5" borderId="2" xfId="3" applyFont="1" applyFill="1" applyBorder="1" applyAlignment="1">
      <alignment horizontal="left" vertical="top" wrapText="1"/>
    </xf>
    <xf numFmtId="0" fontId="21" fillId="5" borderId="1" xfId="4" applyFont="1" applyFill="1" applyBorder="1" applyAlignment="1">
      <alignment horizontal="center" vertical="top" wrapText="1"/>
    </xf>
    <xf numFmtId="0" fontId="21" fillId="5" borderId="1" xfId="4" applyFont="1" applyFill="1" applyBorder="1" applyAlignment="1">
      <alignment vertical="top" wrapText="1"/>
    </xf>
    <xf numFmtId="0" fontId="0" fillId="5" borderId="4" xfId="0" applyFill="1" applyBorder="1"/>
    <xf numFmtId="4" fontId="21" fillId="5" borderId="6" xfId="0" applyNumberFormat="1" applyFont="1" applyFill="1" applyBorder="1" applyAlignment="1">
      <alignment horizontal="left" vertical="center" wrapText="1"/>
    </xf>
    <xf numFmtId="0" fontId="21" fillId="5" borderId="1" xfId="4" applyFont="1" applyFill="1" applyBorder="1" applyAlignment="1">
      <alignment horizontal="center" vertical="center" wrapText="1"/>
    </xf>
    <xf numFmtId="0" fontId="21" fillId="5" borderId="1" xfId="2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wrapText="1"/>
    </xf>
    <xf numFmtId="0" fontId="21" fillId="5" borderId="1" xfId="0" applyFont="1" applyFill="1" applyBorder="1" applyAlignment="1">
      <alignment vertical="top" wrapText="1"/>
    </xf>
    <xf numFmtId="0" fontId="0" fillId="5" borderId="0" xfId="0" applyFill="1" applyBorder="1" applyAlignment="1">
      <alignment vertical="center"/>
    </xf>
    <xf numFmtId="0" fontId="0" fillId="5" borderId="0" xfId="0" applyFill="1" applyAlignment="1">
      <alignment horizontal="center" vertical="center"/>
    </xf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3" fontId="0" fillId="5" borderId="0" xfId="0" applyNumberFormat="1" applyFill="1" applyAlignment="1">
      <alignment horizontal="center"/>
    </xf>
    <xf numFmtId="0" fontId="2" fillId="5" borderId="0" xfId="0" applyFont="1" applyFill="1" applyAlignment="1">
      <alignment horizontal="left" vertical="center" readingOrder="1"/>
    </xf>
    <xf numFmtId="4" fontId="4" fillId="5" borderId="1" xfId="0" applyNumberFormat="1" applyFont="1" applyFill="1" applyBorder="1" applyAlignment="1">
      <alignment horizontal="center" vertical="center" wrapText="1" readingOrder="1"/>
    </xf>
    <xf numFmtId="3" fontId="4" fillId="5" borderId="1" xfId="0" applyNumberFormat="1" applyFont="1" applyFill="1" applyBorder="1" applyAlignment="1">
      <alignment horizontal="center" vertical="top" wrapText="1" readingOrder="1"/>
    </xf>
    <xf numFmtId="3" fontId="6" fillId="5" borderId="1" xfId="0" applyNumberFormat="1" applyFont="1" applyFill="1" applyBorder="1" applyAlignment="1">
      <alignment horizontal="center" vertical="center" wrapText="1" readingOrder="1"/>
    </xf>
    <xf numFmtId="2" fontId="4" fillId="5" borderId="1" xfId="0" applyNumberFormat="1" applyFont="1" applyFill="1" applyBorder="1" applyAlignment="1">
      <alignment horizontal="center" vertical="center" wrapText="1" readingOrder="1"/>
    </xf>
    <xf numFmtId="168" fontId="4" fillId="5" borderId="1" xfId="0" applyNumberFormat="1" applyFont="1" applyFill="1" applyBorder="1" applyAlignment="1">
      <alignment horizontal="center" vertical="center" wrapText="1" readingOrder="1"/>
    </xf>
    <xf numFmtId="3" fontId="4" fillId="5" borderId="1" xfId="0" applyNumberFormat="1" applyFont="1" applyFill="1" applyBorder="1" applyAlignment="1">
      <alignment horizontal="center" vertical="center" wrapText="1" readingOrder="1"/>
    </xf>
    <xf numFmtId="0" fontId="4" fillId="5" borderId="1" xfId="0" applyFont="1" applyFill="1" applyBorder="1" applyAlignment="1">
      <alignment horizontal="justify" vertical="center" wrapText="1" readingOrder="1"/>
    </xf>
    <xf numFmtId="4" fontId="4" fillId="5" borderId="1" xfId="0" applyNumberFormat="1" applyFont="1" applyFill="1" applyBorder="1" applyAlignment="1">
      <alignment horizontal="center" vertical="top" wrapText="1" readingOrder="1"/>
    </xf>
    <xf numFmtId="0" fontId="4" fillId="5" borderId="1" xfId="0" applyFont="1" applyFill="1" applyBorder="1" applyAlignment="1">
      <alignment horizontal="center" vertical="center" wrapText="1" readingOrder="1"/>
    </xf>
    <xf numFmtId="168" fontId="11" fillId="5" borderId="1" xfId="0" applyNumberFormat="1" applyFont="1" applyFill="1" applyBorder="1" applyAlignment="1">
      <alignment horizontal="center" vertical="center" wrapText="1" readingOrder="1"/>
    </xf>
    <xf numFmtId="4" fontId="0" fillId="5" borderId="0" xfId="0" applyNumberFormat="1" applyFill="1"/>
    <xf numFmtId="0" fontId="4" fillId="5" borderId="1" xfId="0" applyFont="1" applyFill="1" applyBorder="1" applyAlignment="1">
      <alignment horizontal="left" vertical="center" wrapText="1" readingOrder="1"/>
    </xf>
    <xf numFmtId="169" fontId="4" fillId="5" borderId="1" xfId="0" applyNumberFormat="1" applyFont="1" applyFill="1" applyBorder="1" applyAlignment="1">
      <alignment horizontal="center" vertical="center" wrapText="1" readingOrder="1"/>
    </xf>
    <xf numFmtId="0" fontId="21" fillId="5" borderId="2" xfId="0" applyFont="1" applyFill="1" applyBorder="1" applyAlignment="1">
      <alignment horizontal="left" wrapText="1"/>
    </xf>
    <xf numFmtId="2" fontId="11" fillId="5" borderId="1" xfId="0" applyNumberFormat="1" applyFont="1" applyFill="1" applyBorder="1" applyAlignment="1">
      <alignment horizontal="center" vertical="center" wrapText="1" readingOrder="1"/>
    </xf>
    <xf numFmtId="4" fontId="4" fillId="5" borderId="0" xfId="0" applyNumberFormat="1" applyFont="1" applyFill="1" applyBorder="1" applyAlignment="1">
      <alignment horizontal="center" vertical="center" wrapText="1" readingOrder="1"/>
    </xf>
    <xf numFmtId="0" fontId="0" fillId="5" borderId="0" xfId="0" applyFont="1" applyFill="1"/>
    <xf numFmtId="170" fontId="4" fillId="5" borderId="1" xfId="0" applyNumberFormat="1" applyFont="1" applyFill="1" applyBorder="1" applyAlignment="1">
      <alignment horizontal="center" vertical="center" wrapText="1" readingOrder="1"/>
    </xf>
    <xf numFmtId="4" fontId="0" fillId="5" borderId="0" xfId="0" applyNumberFormat="1" applyFont="1" applyFill="1"/>
    <xf numFmtId="0" fontId="0" fillId="5" borderId="0" xfId="0" applyFont="1" applyFill="1" applyAlignment="1">
      <alignment horizontal="right"/>
    </xf>
    <xf numFmtId="0" fontId="2" fillId="5" borderId="0" xfId="0" applyFont="1" applyFill="1" applyBorder="1" applyAlignment="1">
      <alignment vertical="center" readingOrder="1"/>
    </xf>
    <xf numFmtId="4" fontId="4" fillId="5" borderId="1" xfId="0" applyNumberFormat="1" applyFont="1" applyFill="1" applyBorder="1" applyAlignment="1">
      <alignment horizontal="justify" vertical="center" wrapText="1" readingOrder="1"/>
    </xf>
    <xf numFmtId="4" fontId="11" fillId="5" borderId="1" xfId="0" applyNumberFormat="1" applyFont="1" applyFill="1" applyBorder="1" applyAlignment="1">
      <alignment horizontal="center" vertical="center" wrapText="1" readingOrder="1"/>
    </xf>
    <xf numFmtId="0" fontId="21" fillId="5" borderId="0" xfId="0" applyFont="1" applyFill="1" applyBorder="1" applyAlignment="1">
      <alignment horizontal="center" vertical="center" wrapText="1"/>
    </xf>
    <xf numFmtId="0" fontId="21" fillId="5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4" fontId="21" fillId="5" borderId="2" xfId="0" applyNumberFormat="1" applyFont="1" applyFill="1" applyBorder="1" applyAlignment="1">
      <alignment horizontal="center" vertical="center"/>
    </xf>
    <xf numFmtId="4" fontId="21" fillId="5" borderId="4" xfId="0" applyNumberFormat="1" applyFont="1" applyFill="1" applyBorder="1" applyAlignment="1">
      <alignment horizontal="center" vertical="center"/>
    </xf>
    <xf numFmtId="0" fontId="21" fillId="5" borderId="3" xfId="0" applyFont="1" applyFill="1" applyBorder="1" applyAlignment="1">
      <alignment horizontal="left" vertical="center" wrapText="1"/>
    </xf>
    <xf numFmtId="0" fontId="21" fillId="5" borderId="2" xfId="0" applyFont="1" applyFill="1" applyBorder="1" applyAlignment="1" applyProtection="1">
      <alignment horizontal="left" vertical="center" wrapText="1"/>
      <protection locked="0"/>
    </xf>
    <xf numFmtId="0" fontId="21" fillId="5" borderId="3" xfId="0" applyFont="1" applyFill="1" applyBorder="1" applyAlignment="1" applyProtection="1">
      <alignment horizontal="left" vertical="center" wrapText="1"/>
      <protection locked="0"/>
    </xf>
    <xf numFmtId="0" fontId="21" fillId="5" borderId="2" xfId="1" applyFont="1" applyFill="1" applyBorder="1" applyAlignment="1">
      <alignment horizontal="left" vertical="center" wrapText="1"/>
    </xf>
    <xf numFmtId="0" fontId="21" fillId="5" borderId="3" xfId="1" applyFont="1" applyFill="1" applyBorder="1" applyAlignment="1">
      <alignment horizontal="left" vertical="center" wrapText="1"/>
    </xf>
    <xf numFmtId="0" fontId="21" fillId="5" borderId="4" xfId="1" applyFont="1" applyFill="1" applyBorder="1" applyAlignment="1">
      <alignment horizontal="left" vertical="center" wrapText="1"/>
    </xf>
    <xf numFmtId="0" fontId="21" fillId="5" borderId="2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8" fillId="5" borderId="0" xfId="0" applyFont="1" applyFill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20" xfId="0" applyFont="1" applyFill="1" applyBorder="1" applyAlignment="1">
      <alignment horizontal="center"/>
    </xf>
    <xf numFmtId="0" fontId="3" fillId="5" borderId="21" xfId="0" applyFont="1" applyFill="1" applyBorder="1" applyAlignment="1">
      <alignment horizontal="center"/>
    </xf>
    <xf numFmtId="0" fontId="3" fillId="5" borderId="22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3" fillId="5" borderId="0" xfId="0" applyFont="1" applyFill="1" applyAlignment="1">
      <alignment horizontal="center"/>
    </xf>
    <xf numFmtId="0" fontId="21" fillId="5" borderId="0" xfId="0" applyFont="1" applyFill="1" applyAlignment="1">
      <alignment horizontal="center"/>
    </xf>
    <xf numFmtId="0" fontId="21" fillId="5" borderId="5" xfId="0" applyFont="1" applyFill="1" applyBorder="1" applyAlignment="1">
      <alignment horizontal="left" wrapText="1"/>
    </xf>
    <xf numFmtId="0" fontId="21" fillId="5" borderId="0" xfId="0" applyFont="1" applyFill="1" applyAlignment="1">
      <alignment horizontal="center" wrapText="1"/>
    </xf>
    <xf numFmtId="4" fontId="21" fillId="5" borderId="2" xfId="0" applyNumberFormat="1" applyFont="1" applyFill="1" applyBorder="1" applyAlignment="1">
      <alignment horizontal="center"/>
    </xf>
    <xf numFmtId="4" fontId="21" fillId="5" borderId="3" xfId="0" applyNumberFormat="1" applyFont="1" applyFill="1" applyBorder="1" applyAlignment="1">
      <alignment horizontal="center"/>
    </xf>
    <xf numFmtId="4" fontId="21" fillId="5" borderId="4" xfId="0" applyNumberFormat="1" applyFont="1" applyFill="1" applyBorder="1" applyAlignment="1">
      <alignment horizontal="center"/>
    </xf>
    <xf numFmtId="0" fontId="3" fillId="5" borderId="0" xfId="0" applyFont="1" applyFill="1" applyBorder="1" applyAlignment="1">
      <alignment horizontal="left" wrapText="1"/>
    </xf>
    <xf numFmtId="0" fontId="3" fillId="5" borderId="1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 wrapText="1"/>
    </xf>
    <xf numFmtId="49" fontId="21" fillId="5" borderId="1" xfId="0" applyNumberFormat="1" applyFont="1" applyFill="1" applyBorder="1" applyAlignment="1" applyProtection="1">
      <alignment horizontal="left" vertical="center" wrapText="1"/>
      <protection locked="0"/>
    </xf>
    <xf numFmtId="0" fontId="21" fillId="5" borderId="2" xfId="0" applyFont="1" applyFill="1" applyBorder="1" applyAlignment="1">
      <alignment horizontal="left" vertical="center" wrapText="1"/>
    </xf>
    <xf numFmtId="0" fontId="21" fillId="5" borderId="4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 wrapText="1"/>
    </xf>
    <xf numFmtId="0" fontId="3" fillId="5" borderId="2" xfId="0" applyFont="1" applyFill="1" applyBorder="1" applyAlignment="1">
      <alignment horizontal="left" wrapText="1"/>
    </xf>
    <xf numFmtId="0" fontId="3" fillId="5" borderId="3" xfId="0" applyFont="1" applyFill="1" applyBorder="1" applyAlignment="1">
      <alignment horizontal="left" wrapText="1"/>
    </xf>
    <xf numFmtId="0" fontId="3" fillId="5" borderId="4" xfId="0" applyFont="1" applyFill="1" applyBorder="1" applyAlignment="1">
      <alignment horizontal="left" wrapText="1"/>
    </xf>
    <xf numFmtId="2" fontId="23" fillId="5" borderId="2" xfId="0" applyNumberFormat="1" applyFont="1" applyFill="1" applyBorder="1" applyAlignment="1">
      <alignment horizontal="left"/>
    </xf>
    <xf numFmtId="2" fontId="23" fillId="5" borderId="3" xfId="0" applyNumberFormat="1" applyFont="1" applyFill="1" applyBorder="1" applyAlignment="1">
      <alignment horizontal="left"/>
    </xf>
    <xf numFmtId="2" fontId="23" fillId="5" borderId="4" xfId="0" applyNumberFormat="1" applyFont="1" applyFill="1" applyBorder="1" applyAlignment="1">
      <alignment horizontal="left"/>
    </xf>
    <xf numFmtId="0" fontId="21" fillId="5" borderId="2" xfId="0" applyFont="1" applyFill="1" applyBorder="1" applyAlignment="1">
      <alignment horizontal="left"/>
    </xf>
    <xf numFmtId="0" fontId="21" fillId="5" borderId="3" xfId="0" applyFont="1" applyFill="1" applyBorder="1" applyAlignment="1">
      <alignment horizontal="left"/>
    </xf>
    <xf numFmtId="0" fontId="21" fillId="5" borderId="4" xfId="0" applyFont="1" applyFill="1" applyBorder="1" applyAlignment="1">
      <alignment horizontal="left"/>
    </xf>
    <xf numFmtId="0" fontId="21" fillId="5" borderId="2" xfId="0" applyFont="1" applyFill="1" applyBorder="1" applyAlignment="1">
      <alignment horizontal="center"/>
    </xf>
    <xf numFmtId="0" fontId="21" fillId="5" borderId="4" xfId="0" applyFont="1" applyFill="1" applyBorder="1" applyAlignment="1">
      <alignment horizontal="center"/>
    </xf>
    <xf numFmtId="0" fontId="28" fillId="5" borderId="2" xfId="0" applyFont="1" applyFill="1" applyBorder="1" applyAlignment="1">
      <alignment horizontal="left"/>
    </xf>
    <xf numFmtId="0" fontId="28" fillId="5" borderId="3" xfId="0" applyFont="1" applyFill="1" applyBorder="1" applyAlignment="1">
      <alignment horizontal="left"/>
    </xf>
    <xf numFmtId="0" fontId="28" fillId="5" borderId="4" xfId="0" applyFont="1" applyFill="1" applyBorder="1" applyAlignment="1">
      <alignment horizontal="left"/>
    </xf>
    <xf numFmtId="0" fontId="23" fillId="5" borderId="2" xfId="0" applyFont="1" applyFill="1" applyBorder="1" applyAlignment="1">
      <alignment horizontal="left"/>
    </xf>
    <xf numFmtId="0" fontId="23" fillId="5" borderId="3" xfId="0" applyFont="1" applyFill="1" applyBorder="1" applyAlignment="1">
      <alignment horizontal="left"/>
    </xf>
    <xf numFmtId="0" fontId="23" fillId="5" borderId="4" xfId="0" applyFont="1" applyFill="1" applyBorder="1" applyAlignment="1">
      <alignment horizontal="left"/>
    </xf>
    <xf numFmtId="0" fontId="21" fillId="5" borderId="3" xfId="0" applyFont="1" applyFill="1" applyBorder="1" applyAlignment="1">
      <alignment horizontal="center"/>
    </xf>
    <xf numFmtId="49" fontId="21" fillId="5" borderId="2" xfId="0" applyNumberFormat="1" applyFont="1" applyFill="1" applyBorder="1" applyAlignment="1">
      <alignment horizontal="left" vertical="center" wrapText="1"/>
    </xf>
    <xf numFmtId="49" fontId="21" fillId="5" borderId="3" xfId="0" applyNumberFormat="1" applyFont="1" applyFill="1" applyBorder="1" applyAlignment="1">
      <alignment horizontal="left" vertical="center" wrapText="1"/>
    </xf>
    <xf numFmtId="49" fontId="21" fillId="5" borderId="4" xfId="0" applyNumberFormat="1" applyFont="1" applyFill="1" applyBorder="1" applyAlignment="1">
      <alignment horizontal="left" vertical="center" wrapText="1"/>
    </xf>
    <xf numFmtId="49" fontId="21" fillId="5" borderId="2" xfId="0" applyNumberFormat="1" applyFont="1" applyFill="1" applyBorder="1" applyAlignment="1" applyProtection="1">
      <alignment horizontal="left" vertical="center" wrapText="1"/>
      <protection locked="0"/>
    </xf>
    <xf numFmtId="0" fontId="0" fillId="5" borderId="4" xfId="0" applyFill="1" applyBorder="1" applyAlignment="1">
      <alignment horizontal="left" vertical="center" wrapText="1"/>
    </xf>
    <xf numFmtId="49" fontId="21" fillId="5" borderId="3" xfId="0" applyNumberFormat="1" applyFont="1" applyFill="1" applyBorder="1" applyAlignment="1" applyProtection="1">
      <alignment horizontal="left" vertical="center" wrapText="1"/>
      <protection locked="0"/>
    </xf>
    <xf numFmtId="49" fontId="21" fillId="5" borderId="4" xfId="0" applyNumberFormat="1" applyFont="1" applyFill="1" applyBorder="1" applyAlignment="1" applyProtection="1">
      <alignment horizontal="left" vertical="center" wrapText="1"/>
      <protection locked="0"/>
    </xf>
    <xf numFmtId="0" fontId="21" fillId="5" borderId="1" xfId="0" applyFont="1" applyFill="1" applyBorder="1" applyAlignment="1">
      <alignment horizontal="left" vertical="center" wrapText="1"/>
    </xf>
    <xf numFmtId="0" fontId="21" fillId="5" borderId="4" xfId="0" applyFont="1" applyFill="1" applyBorder="1" applyAlignment="1" applyProtection="1">
      <alignment horizontal="left" vertical="center" wrapText="1"/>
      <protection locked="0"/>
    </xf>
    <xf numFmtId="4" fontId="28" fillId="5" borderId="2" xfId="0" applyNumberFormat="1" applyFont="1" applyFill="1" applyBorder="1" applyAlignment="1">
      <alignment horizontal="center" vertical="center"/>
    </xf>
    <xf numFmtId="4" fontId="28" fillId="5" borderId="4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5" borderId="4" xfId="0" applyFont="1" applyFill="1" applyBorder="1" applyAlignment="1">
      <alignment horizontal="left" vertical="center" wrapText="1"/>
    </xf>
    <xf numFmtId="0" fontId="21" fillId="5" borderId="2" xfId="0" applyFont="1" applyFill="1" applyBorder="1" applyAlignment="1" applyProtection="1">
      <alignment horizontal="left" vertical="top" wrapText="1"/>
      <protection locked="0"/>
    </xf>
    <xf numFmtId="0" fontId="21" fillId="5" borderId="3" xfId="0" applyFont="1" applyFill="1" applyBorder="1" applyAlignment="1" applyProtection="1">
      <alignment horizontal="left" vertical="top" wrapText="1"/>
      <protection locked="0"/>
    </xf>
    <xf numFmtId="0" fontId="21" fillId="5" borderId="4" xfId="0" applyFont="1" applyFill="1" applyBorder="1" applyAlignment="1" applyProtection="1">
      <alignment horizontal="left" vertical="top" wrapText="1"/>
      <protection locked="0"/>
    </xf>
    <xf numFmtId="0" fontId="21" fillId="5" borderId="1" xfId="0" applyFont="1" applyFill="1" applyBorder="1" applyAlignment="1">
      <alignment horizontal="center" vertical="center"/>
    </xf>
    <xf numFmtId="0" fontId="23" fillId="5" borderId="1" xfId="0" applyFont="1" applyFill="1" applyBorder="1" applyAlignment="1" applyProtection="1">
      <alignment horizontal="left" wrapText="1"/>
      <protection locked="0"/>
    </xf>
    <xf numFmtId="0" fontId="21" fillId="5" borderId="1" xfId="0" applyFont="1" applyFill="1" applyBorder="1" applyAlignment="1" applyProtection="1">
      <alignment horizontal="left" vertical="center"/>
      <protection locked="0"/>
    </xf>
    <xf numFmtId="0" fontId="24" fillId="5" borderId="1" xfId="0" applyFont="1" applyFill="1" applyBorder="1" applyAlignment="1">
      <alignment horizontal="left" vertical="center"/>
    </xf>
    <xf numFmtId="0" fontId="23" fillId="5" borderId="1" xfId="0" applyFont="1" applyFill="1" applyBorder="1" applyAlignment="1">
      <alignment horizontal="left" vertical="center"/>
    </xf>
    <xf numFmtId="0" fontId="21" fillId="5" borderId="1" xfId="0" applyFont="1" applyFill="1" applyBorder="1" applyAlignment="1" applyProtection="1">
      <alignment horizontal="left" wrapText="1"/>
      <protection locked="0"/>
    </xf>
    <xf numFmtId="0" fontId="23" fillId="5" borderId="1" xfId="0" applyFont="1" applyFill="1" applyBorder="1" applyAlignment="1">
      <alignment horizontal="left"/>
    </xf>
    <xf numFmtId="0" fontId="3" fillId="5" borderId="3" xfId="0" applyFont="1" applyFill="1" applyBorder="1" applyAlignment="1">
      <alignment vertical="center"/>
    </xf>
    <xf numFmtId="0" fontId="3" fillId="5" borderId="4" xfId="0" applyFont="1" applyFill="1" applyBorder="1" applyAlignment="1">
      <alignment vertical="center"/>
    </xf>
    <xf numFmtId="0" fontId="3" fillId="5" borderId="1" xfId="0" applyFont="1" applyFill="1" applyBorder="1" applyAlignment="1">
      <alignment horizontal="center" vertical="center"/>
    </xf>
    <xf numFmtId="49" fontId="21" fillId="5" borderId="2" xfId="0" applyNumberFormat="1" applyFont="1" applyFill="1" applyBorder="1" applyAlignment="1" applyProtection="1">
      <alignment horizontal="left" wrapText="1"/>
      <protection locked="0"/>
    </xf>
    <xf numFmtId="0" fontId="24" fillId="5" borderId="4" xfId="0" applyFont="1" applyFill="1" applyBorder="1" applyAlignment="1">
      <alignment horizontal="left" wrapText="1"/>
    </xf>
    <xf numFmtId="0" fontId="0" fillId="5" borderId="4" xfId="0" applyFill="1" applyBorder="1" applyAlignment="1">
      <alignment horizontal="left" wrapText="1"/>
    </xf>
    <xf numFmtId="0" fontId="3" fillId="5" borderId="2" xfId="0" applyFont="1" applyFill="1" applyBorder="1" applyAlignment="1">
      <alignment horizontal="center" wrapText="1"/>
    </xf>
    <xf numFmtId="0" fontId="3" fillId="5" borderId="3" xfId="0" applyFont="1" applyFill="1" applyBorder="1" applyAlignment="1">
      <alignment horizontal="center" wrapText="1"/>
    </xf>
    <xf numFmtId="0" fontId="3" fillId="5" borderId="4" xfId="0" applyFont="1" applyFill="1" applyBorder="1" applyAlignment="1">
      <alignment horizontal="center" wrapText="1"/>
    </xf>
    <xf numFmtId="0" fontId="28" fillId="5" borderId="1" xfId="0" applyFont="1" applyFill="1" applyBorder="1" applyAlignment="1">
      <alignment horizontal="left"/>
    </xf>
    <xf numFmtId="4" fontId="28" fillId="5" borderId="20" xfId="0" applyNumberFormat="1" applyFont="1" applyFill="1" applyBorder="1" applyAlignment="1">
      <alignment horizontal="center" vertical="center"/>
    </xf>
    <xf numFmtId="4" fontId="28" fillId="5" borderId="22" xfId="0" applyNumberFormat="1" applyFont="1" applyFill="1" applyBorder="1" applyAlignment="1">
      <alignment horizontal="center" vertical="center"/>
    </xf>
    <xf numFmtId="0" fontId="28" fillId="5" borderId="2" xfId="0" applyFont="1" applyFill="1" applyBorder="1" applyAlignment="1">
      <alignment horizontal="center" wrapText="1"/>
    </xf>
    <xf numFmtId="0" fontId="28" fillId="5" borderId="3" xfId="0" applyFont="1" applyFill="1" applyBorder="1" applyAlignment="1">
      <alignment horizontal="center" wrapText="1"/>
    </xf>
    <xf numFmtId="0" fontId="28" fillId="5" borderId="4" xfId="0" applyFont="1" applyFill="1" applyBorder="1" applyAlignment="1">
      <alignment horizontal="center" wrapText="1"/>
    </xf>
    <xf numFmtId="0" fontId="3" fillId="5" borderId="20" xfId="0" applyFont="1" applyFill="1" applyBorder="1" applyAlignment="1">
      <alignment horizontal="left" vertical="center" wrapText="1"/>
    </xf>
    <xf numFmtId="0" fontId="3" fillId="5" borderId="22" xfId="0" applyFont="1" applyFill="1" applyBorder="1" applyAlignment="1">
      <alignment horizontal="left" vertical="center" wrapText="1"/>
    </xf>
    <xf numFmtId="0" fontId="3" fillId="5" borderId="23" xfId="0" applyFont="1" applyFill="1" applyBorder="1" applyAlignment="1">
      <alignment horizontal="left" vertical="center" wrapText="1"/>
    </xf>
    <xf numFmtId="0" fontId="3" fillId="5" borderId="25" xfId="0" applyFont="1" applyFill="1" applyBorder="1" applyAlignment="1">
      <alignment horizontal="left" vertical="center" wrapText="1"/>
    </xf>
    <xf numFmtId="0" fontId="21" fillId="5" borderId="0" xfId="0" applyFont="1" applyFill="1" applyAlignment="1">
      <alignment horizontal="left" wrapText="1"/>
    </xf>
    <xf numFmtId="0" fontId="3" fillId="5" borderId="0" xfId="0" applyFont="1" applyFill="1" applyBorder="1" applyAlignment="1">
      <alignment horizontal="left"/>
    </xf>
    <xf numFmtId="0" fontId="3" fillId="5" borderId="2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left" vertical="center" wrapText="1"/>
    </xf>
    <xf numFmtId="0" fontId="28" fillId="5" borderId="2" xfId="0" applyFont="1" applyFill="1" applyBorder="1" applyAlignment="1">
      <alignment horizontal="left" vertical="center"/>
    </xf>
    <xf numFmtId="0" fontId="28" fillId="5" borderId="3" xfId="0" applyFont="1" applyFill="1" applyBorder="1" applyAlignment="1">
      <alignment horizontal="left" vertical="center"/>
    </xf>
    <xf numFmtId="0" fontId="28" fillId="5" borderId="4" xfId="0" applyFont="1" applyFill="1" applyBorder="1" applyAlignment="1">
      <alignment horizontal="left" vertical="center"/>
    </xf>
    <xf numFmtId="49" fontId="21" fillId="5" borderId="4" xfId="0" applyNumberFormat="1" applyFont="1" applyFill="1" applyBorder="1" applyAlignment="1" applyProtection="1">
      <alignment horizontal="left" wrapText="1"/>
      <protection locked="0"/>
    </xf>
    <xf numFmtId="4" fontId="3" fillId="5" borderId="2" xfId="0" applyNumberFormat="1" applyFont="1" applyFill="1" applyBorder="1" applyAlignment="1">
      <alignment horizontal="center" vertical="center"/>
    </xf>
    <xf numFmtId="4" fontId="3" fillId="5" borderId="4" xfId="0" applyNumberFormat="1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4" fontId="23" fillId="5" borderId="2" xfId="0" applyNumberFormat="1" applyFont="1" applyFill="1" applyBorder="1" applyAlignment="1">
      <alignment horizontal="center" vertical="center"/>
    </xf>
    <xf numFmtId="4" fontId="23" fillId="5" borderId="4" xfId="0" applyNumberFormat="1" applyFont="1" applyFill="1" applyBorder="1" applyAlignment="1">
      <alignment horizontal="center" vertical="center"/>
    </xf>
    <xf numFmtId="0" fontId="24" fillId="5" borderId="4" xfId="0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  <xf numFmtId="49" fontId="21" fillId="5" borderId="3" xfId="0" applyNumberFormat="1" applyFont="1" applyFill="1" applyBorder="1" applyAlignment="1" applyProtection="1">
      <alignment horizontal="left" wrapText="1"/>
      <protection locked="0"/>
    </xf>
    <xf numFmtId="0" fontId="3" fillId="5" borderId="21" xfId="0" applyFont="1" applyFill="1" applyBorder="1" applyAlignment="1">
      <alignment horizontal="left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left" vertical="center" wrapText="1" readingOrder="1"/>
    </xf>
    <xf numFmtId="0" fontId="2" fillId="5" borderId="0" xfId="0" applyFont="1" applyFill="1" applyBorder="1" applyAlignment="1">
      <alignment horizontal="left" vertical="center" wrapText="1" readingOrder="1"/>
    </xf>
    <xf numFmtId="0" fontId="2" fillId="5" borderId="5" xfId="0" applyFont="1" applyFill="1" applyBorder="1" applyAlignment="1">
      <alignment horizontal="left" vertical="center" readingOrder="1"/>
    </xf>
    <xf numFmtId="0" fontId="1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 readingOrder="1"/>
    </xf>
    <xf numFmtId="0" fontId="8" fillId="5" borderId="0" xfId="0" applyFont="1" applyFill="1" applyAlignment="1">
      <alignment horizontal="center" vertical="center" readingOrder="1"/>
    </xf>
    <xf numFmtId="0" fontId="2" fillId="5" borderId="1" xfId="0" applyFont="1" applyFill="1" applyBorder="1" applyAlignment="1">
      <alignment horizontal="right" vertical="center" wrapText="1" readingOrder="1"/>
    </xf>
    <xf numFmtId="0" fontId="4" fillId="5" borderId="6" xfId="0" applyFont="1" applyFill="1" applyBorder="1" applyAlignment="1">
      <alignment horizontal="center" vertical="center" wrapText="1" readingOrder="1"/>
    </xf>
    <xf numFmtId="0" fontId="4" fillId="5" borderId="18" xfId="0" applyFont="1" applyFill="1" applyBorder="1" applyAlignment="1">
      <alignment horizontal="center" vertical="center" wrapText="1" readingOrder="1"/>
    </xf>
    <xf numFmtId="0" fontId="4" fillId="5" borderId="7" xfId="0" applyFont="1" applyFill="1" applyBorder="1" applyAlignment="1">
      <alignment horizontal="center" vertical="center" wrapText="1" readingOrder="1"/>
    </xf>
    <xf numFmtId="0" fontId="2" fillId="2" borderId="14" xfId="0" applyFont="1" applyFill="1" applyBorder="1" applyAlignment="1">
      <alignment horizontal="right" vertical="center" wrapText="1" readingOrder="1"/>
    </xf>
    <xf numFmtId="0" fontId="2" fillId="2" borderId="15" xfId="0" applyFont="1" applyFill="1" applyBorder="1" applyAlignment="1">
      <alignment horizontal="right" vertical="center" wrapText="1" readingOrder="1"/>
    </xf>
    <xf numFmtId="0" fontId="2" fillId="2" borderId="16" xfId="0" applyFont="1" applyFill="1" applyBorder="1" applyAlignment="1">
      <alignment horizontal="right" vertical="center" wrapText="1" readingOrder="1"/>
    </xf>
    <xf numFmtId="0" fontId="7" fillId="0" borderId="0" xfId="0" applyFont="1" applyAlignment="1">
      <alignment horizontal="center" vertical="center" wrapText="1" readingOrder="1"/>
    </xf>
    <xf numFmtId="0" fontId="22" fillId="5" borderId="0" xfId="0" applyFont="1" applyFill="1" applyAlignment="1">
      <alignment horizontal="center"/>
    </xf>
    <xf numFmtId="0" fontId="2" fillId="2" borderId="1" xfId="0" applyFont="1" applyFill="1" applyBorder="1" applyAlignment="1">
      <alignment horizontal="right" vertical="center" wrapText="1" readingOrder="1"/>
    </xf>
    <xf numFmtId="0" fontId="4" fillId="0" borderId="0" xfId="0" applyFont="1" applyAlignment="1">
      <alignment horizontal="left" vertical="center" wrapText="1" readingOrder="1"/>
    </xf>
    <xf numFmtId="0" fontId="13" fillId="0" borderId="0" xfId="0" applyFont="1" applyAlignment="1">
      <alignment horizontal="left" vertical="center" wrapText="1" readingOrder="1"/>
    </xf>
    <xf numFmtId="0" fontId="2" fillId="0" borderId="0" xfId="0" applyFont="1" applyAlignment="1">
      <alignment horizontal="center" vertical="center" readingOrder="1"/>
    </xf>
    <xf numFmtId="0" fontId="2" fillId="0" borderId="1" xfId="0" applyFont="1" applyFill="1" applyBorder="1" applyAlignment="1">
      <alignment horizontal="right" vertical="center" wrapText="1" readingOrder="1"/>
    </xf>
    <xf numFmtId="0" fontId="2" fillId="5" borderId="0" xfId="0" applyFont="1" applyFill="1" applyAlignment="1">
      <alignment horizontal="center" vertical="center" wrapText="1" readingOrder="1"/>
    </xf>
    <xf numFmtId="0" fontId="2" fillId="5" borderId="0" xfId="0" applyFont="1" applyFill="1" applyBorder="1" applyAlignment="1">
      <alignment horizontal="center" vertical="center" wrapText="1" readingOrder="1"/>
    </xf>
    <xf numFmtId="4" fontId="2" fillId="5" borderId="1" xfId="0" applyNumberFormat="1" applyFont="1" applyFill="1" applyBorder="1" applyAlignment="1">
      <alignment horizontal="right" vertical="center" wrapText="1" readingOrder="1"/>
    </xf>
    <xf numFmtId="0" fontId="2" fillId="5" borderId="0" xfId="0" applyFont="1" applyFill="1" applyAlignment="1">
      <alignment horizontal="center" vertical="center" readingOrder="1"/>
    </xf>
  </cellXfs>
  <cellStyles count="5">
    <cellStyle name="Обычный" xfId="0" builtinId="0"/>
    <cellStyle name="Обычный 2" xfId="3"/>
    <cellStyle name="Обычный 2 2" xfId="2"/>
    <cellStyle name="Обычный_СМЕТА" xfId="1"/>
    <cellStyle name="Обычный_Штатное расписание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7"/>
  <sheetViews>
    <sheetView workbookViewId="0">
      <selection activeCell="C19" sqref="C19:F19"/>
    </sheetView>
  </sheetViews>
  <sheetFormatPr defaultRowHeight="15"/>
  <cols>
    <col min="1" max="1" width="31.85546875" customWidth="1"/>
    <col min="2" max="2" width="44.28515625" customWidth="1"/>
    <col min="3" max="3" width="26" customWidth="1"/>
    <col min="4" max="4" width="12.7109375" customWidth="1"/>
    <col min="5" max="5" width="13" customWidth="1"/>
    <col min="6" max="6" width="17.28515625" customWidth="1"/>
  </cols>
  <sheetData>
    <row r="1" spans="1:7">
      <c r="B1" s="283" t="s">
        <v>110</v>
      </c>
      <c r="C1" s="283"/>
      <c r="D1" s="283"/>
      <c r="E1" s="283"/>
      <c r="F1" s="283"/>
    </row>
    <row r="2" spans="1:7">
      <c r="B2" s="284"/>
      <c r="C2" s="284"/>
      <c r="D2" s="284"/>
      <c r="E2" s="284"/>
      <c r="F2" s="284"/>
      <c r="G2" s="1"/>
    </row>
    <row r="3" spans="1:7" ht="31.5" customHeight="1">
      <c r="A3" s="285" t="s">
        <v>79</v>
      </c>
      <c r="B3" s="285" t="s">
        <v>80</v>
      </c>
      <c r="C3" s="298" t="s">
        <v>192</v>
      </c>
      <c r="D3" s="299"/>
      <c r="E3" s="299"/>
      <c r="F3" s="300"/>
      <c r="G3" s="1"/>
    </row>
    <row r="4" spans="1:7" ht="31.5">
      <c r="A4" s="286"/>
      <c r="B4" s="286"/>
      <c r="C4" s="297" t="s">
        <v>82</v>
      </c>
      <c r="D4" s="297"/>
      <c r="E4" s="2" t="s">
        <v>0</v>
      </c>
      <c r="F4" s="2" t="s">
        <v>1</v>
      </c>
      <c r="G4" s="1"/>
    </row>
    <row r="5" spans="1:7" ht="17.25" customHeight="1">
      <c r="A5" s="290" t="s">
        <v>91</v>
      </c>
      <c r="B5" s="287" t="s">
        <v>92</v>
      </c>
      <c r="C5" s="281" t="s">
        <v>75</v>
      </c>
      <c r="D5" s="293"/>
      <c r="E5" s="293"/>
      <c r="F5" s="282"/>
      <c r="G5" s="1"/>
    </row>
    <row r="6" spans="1:7" ht="27.75" customHeight="1">
      <c r="A6" s="291"/>
      <c r="B6" s="288"/>
      <c r="C6" s="294" t="s">
        <v>81</v>
      </c>
      <c r="D6" s="295"/>
      <c r="E6" s="295"/>
      <c r="F6" s="296"/>
      <c r="G6" s="1"/>
    </row>
    <row r="7" spans="1:7" ht="15.75">
      <c r="A7" s="291"/>
      <c r="B7" s="288"/>
      <c r="C7" s="281" t="s">
        <v>83</v>
      </c>
      <c r="D7" s="282"/>
      <c r="E7" s="2" t="s">
        <v>93</v>
      </c>
      <c r="F7" s="24">
        <f>'211,213 непосред. связан. усл'!H18</f>
        <v>8.6855895975232187</v>
      </c>
      <c r="G7" s="1"/>
    </row>
    <row r="8" spans="1:7" ht="33.75" customHeight="1">
      <c r="A8" s="291"/>
      <c r="B8" s="288"/>
      <c r="C8" s="294" t="s">
        <v>2</v>
      </c>
      <c r="D8" s="295"/>
      <c r="E8" s="295"/>
      <c r="F8" s="296"/>
      <c r="G8" s="1"/>
    </row>
    <row r="9" spans="1:7" ht="33.75" customHeight="1">
      <c r="A9" s="291"/>
      <c r="B9" s="288"/>
      <c r="C9" s="281"/>
      <c r="D9" s="282"/>
      <c r="E9" s="23"/>
      <c r="F9" s="27">
        <f>'мат запасы и ОЦДИ'!H7</f>
        <v>0</v>
      </c>
      <c r="G9" s="1"/>
    </row>
    <row r="10" spans="1:7" ht="26.25" customHeight="1">
      <c r="A10" s="291"/>
      <c r="B10" s="288"/>
      <c r="C10" s="294" t="s">
        <v>3</v>
      </c>
      <c r="D10" s="295"/>
      <c r="E10" s="295"/>
      <c r="F10" s="296"/>
      <c r="G10" s="1"/>
    </row>
    <row r="11" spans="1:7" ht="26.25" customHeight="1">
      <c r="A11" s="291"/>
      <c r="B11" s="288"/>
      <c r="C11" s="281"/>
      <c r="D11" s="282"/>
      <c r="E11" s="3"/>
      <c r="F11" s="24">
        <f>'иные затраты'!H7</f>
        <v>0.74856891237340373</v>
      </c>
      <c r="G11" s="1"/>
    </row>
    <row r="12" spans="1:7" ht="30" customHeight="1">
      <c r="A12" s="291"/>
      <c r="B12" s="288"/>
      <c r="C12" s="294" t="s">
        <v>4</v>
      </c>
      <c r="D12" s="295"/>
      <c r="E12" s="295"/>
      <c r="F12" s="296"/>
      <c r="G12" s="1"/>
    </row>
    <row r="13" spans="1:7" ht="31.5" customHeight="1">
      <c r="A13" s="291"/>
      <c r="B13" s="288"/>
      <c r="C13" s="280" t="s">
        <v>5</v>
      </c>
      <c r="D13" s="280"/>
      <c r="E13" s="280"/>
      <c r="F13" s="280"/>
      <c r="G13" s="1"/>
    </row>
    <row r="14" spans="1:7" ht="31.5" customHeight="1">
      <c r="A14" s="291"/>
      <c r="B14" s="288"/>
      <c r="C14" s="281"/>
      <c r="D14" s="282"/>
      <c r="E14" s="3"/>
      <c r="F14" s="24">
        <f>'комунальные услуги'!H12</f>
        <v>23.264131983805669</v>
      </c>
      <c r="G14" s="1"/>
    </row>
    <row r="15" spans="1:7" ht="30.75" customHeight="1">
      <c r="A15" s="291"/>
      <c r="B15" s="288"/>
      <c r="C15" s="280" t="s">
        <v>6</v>
      </c>
      <c r="D15" s="280"/>
      <c r="E15" s="280"/>
      <c r="F15" s="280"/>
      <c r="G15" s="1"/>
    </row>
    <row r="16" spans="1:7" ht="30.75" customHeight="1">
      <c r="A16" s="291"/>
      <c r="B16" s="288"/>
      <c r="C16" s="281"/>
      <c r="D16" s="282"/>
      <c r="E16" s="3"/>
      <c r="F16" s="24">
        <f>'затраты на содер недвиж имущ'!H6</f>
        <v>0</v>
      </c>
      <c r="G16" s="1"/>
    </row>
    <row r="17" spans="1:7" ht="29.25" customHeight="1">
      <c r="A17" s="291"/>
      <c r="B17" s="288"/>
      <c r="C17" s="280" t="s">
        <v>7</v>
      </c>
      <c r="D17" s="280"/>
      <c r="E17" s="280"/>
      <c r="F17" s="280"/>
      <c r="G17" s="1"/>
    </row>
    <row r="18" spans="1:7" ht="29.25" customHeight="1">
      <c r="A18" s="291"/>
      <c r="B18" s="288"/>
      <c r="C18" s="281"/>
      <c r="D18" s="282"/>
      <c r="E18" s="3"/>
      <c r="F18" s="24">
        <f>'затраты на содер недвиж имущ'!H6</f>
        <v>0</v>
      </c>
      <c r="G18" s="1"/>
    </row>
    <row r="19" spans="1:7" ht="21.75" customHeight="1">
      <c r="A19" s="291"/>
      <c r="B19" s="288"/>
      <c r="C19" s="280" t="s">
        <v>8</v>
      </c>
      <c r="D19" s="280"/>
      <c r="E19" s="280"/>
      <c r="F19" s="280"/>
      <c r="G19" s="1"/>
    </row>
    <row r="20" spans="1:7" ht="21.75" customHeight="1">
      <c r="A20" s="291"/>
      <c r="B20" s="288"/>
      <c r="C20" s="281"/>
      <c r="D20" s="282"/>
      <c r="E20" s="3"/>
      <c r="F20" s="24">
        <f>'221, на содер ОЦДИ'!I6</f>
        <v>0</v>
      </c>
      <c r="G20" s="1"/>
    </row>
    <row r="21" spans="1:7" ht="21.75" customHeight="1">
      <c r="A21" s="291"/>
      <c r="B21" s="288"/>
      <c r="C21" s="280" t="s">
        <v>9</v>
      </c>
      <c r="D21" s="280"/>
      <c r="E21" s="280"/>
      <c r="F21" s="280"/>
      <c r="G21" s="1"/>
    </row>
    <row r="22" spans="1:7" ht="21.75" customHeight="1">
      <c r="A22" s="291"/>
      <c r="B22" s="288"/>
      <c r="C22" s="281"/>
      <c r="D22" s="282"/>
      <c r="E22" s="3"/>
      <c r="F22" s="24">
        <f>'222 (транст)'!H6</f>
        <v>0</v>
      </c>
      <c r="G22" s="1"/>
    </row>
    <row r="23" spans="1:7" ht="31.5" customHeight="1">
      <c r="A23" s="291"/>
      <c r="B23" s="288"/>
      <c r="C23" s="280" t="s">
        <v>10</v>
      </c>
      <c r="D23" s="280"/>
      <c r="E23" s="280"/>
      <c r="F23" s="280"/>
      <c r="G23" s="1"/>
    </row>
    <row r="24" spans="1:7" ht="31.5" customHeight="1">
      <c r="A24" s="291"/>
      <c r="B24" s="288"/>
      <c r="C24" s="281"/>
      <c r="D24" s="282"/>
      <c r="E24" s="3"/>
      <c r="F24" s="24">
        <f>'211,213 не связанные с оказ усл'!H9</f>
        <v>1.7972108554821666</v>
      </c>
      <c r="G24" s="1"/>
    </row>
    <row r="25" spans="1:7" ht="47.25" customHeight="1">
      <c r="A25" s="292"/>
      <c r="B25" s="289"/>
      <c r="C25" s="280" t="s">
        <v>11</v>
      </c>
      <c r="D25" s="280"/>
      <c r="E25" s="280"/>
      <c r="F25" s="280"/>
    </row>
    <row r="26" spans="1:7" ht="15.75">
      <c r="A26" s="23"/>
      <c r="B26" s="36"/>
      <c r="C26" s="281"/>
      <c r="D26" s="282"/>
      <c r="E26" s="3"/>
      <c r="F26" s="24">
        <f>'общехоз нужды'!H6</f>
        <v>4.5762947457932004</v>
      </c>
    </row>
    <row r="28" spans="1:7" ht="25.5">
      <c r="B28" s="30" t="s">
        <v>76</v>
      </c>
      <c r="C28" s="26">
        <f>F7+F9+F11</f>
        <v>9.4341585098966227</v>
      </c>
    </row>
    <row r="29" spans="1:7">
      <c r="B29" s="32"/>
      <c r="C29" s="29"/>
      <c r="D29" s="28"/>
      <c r="E29" s="28"/>
      <c r="F29" s="28"/>
    </row>
    <row r="30" spans="1:7">
      <c r="B30" s="33"/>
    </row>
    <row r="31" spans="1:7" ht="24">
      <c r="B31" s="31" t="s">
        <v>77</v>
      </c>
      <c r="C31" s="26">
        <f>F14+F16+F18+F20+F22+F24+F26</f>
        <v>29.637637585081038</v>
      </c>
    </row>
    <row r="32" spans="1:7">
      <c r="B32" s="35"/>
      <c r="C32" s="26"/>
    </row>
    <row r="33" spans="2:3">
      <c r="B33" s="33"/>
    </row>
    <row r="34" spans="2:3" ht="24.75">
      <c r="B34" s="34" t="s">
        <v>78</v>
      </c>
      <c r="C34" s="26">
        <f>C28+C31</f>
        <v>39.071796094977657</v>
      </c>
    </row>
    <row r="35" spans="2:3">
      <c r="C35" s="26"/>
    </row>
    <row r="37" spans="2:3">
      <c r="B37" t="s">
        <v>164</v>
      </c>
      <c r="C37" s="26">
        <f>'211,213 непосред. связан. усл'!C23+'иные затраты'!C9+'иные затраты'!C10+'комунальные услуги'!C14+'комунальные услуги'!C15+'комунальные услуги'!C16+'211,213 не связанные с оказ усл'!C15+'общехоз нужды'!C8</f>
        <v>11505906.761839999</v>
      </c>
    </row>
  </sheetData>
  <mergeCells count="29">
    <mergeCell ref="B1:F2"/>
    <mergeCell ref="B3:B4"/>
    <mergeCell ref="A3:A4"/>
    <mergeCell ref="B5:B25"/>
    <mergeCell ref="A5:A25"/>
    <mergeCell ref="C5:F5"/>
    <mergeCell ref="C12:F12"/>
    <mergeCell ref="C6:F6"/>
    <mergeCell ref="C7:D7"/>
    <mergeCell ref="C4:D4"/>
    <mergeCell ref="C3:F3"/>
    <mergeCell ref="C8:F8"/>
    <mergeCell ref="C9:D9"/>
    <mergeCell ref="C11:D11"/>
    <mergeCell ref="C10:F10"/>
    <mergeCell ref="C13:F13"/>
    <mergeCell ref="C25:F25"/>
    <mergeCell ref="C26:D26"/>
    <mergeCell ref="C24:D24"/>
    <mergeCell ref="C22:D22"/>
    <mergeCell ref="C14:D14"/>
    <mergeCell ref="C15:F15"/>
    <mergeCell ref="C16:D16"/>
    <mergeCell ref="C17:F17"/>
    <mergeCell ref="C19:F19"/>
    <mergeCell ref="C18:D18"/>
    <mergeCell ref="C21:F21"/>
    <mergeCell ref="C23:F23"/>
    <mergeCell ref="C20:D20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7"/>
  <sheetViews>
    <sheetView workbookViewId="0">
      <selection activeCell="M35" sqref="M35"/>
    </sheetView>
  </sheetViews>
  <sheetFormatPr defaultRowHeight="15"/>
  <cols>
    <col min="1" max="1" width="21.140625" customWidth="1"/>
    <col min="2" max="2" width="14.42578125" customWidth="1"/>
    <col min="3" max="3" width="17.85546875" customWidth="1"/>
    <col min="4" max="4" width="14.7109375" customWidth="1"/>
    <col min="5" max="5" width="16" customWidth="1"/>
    <col min="6" max="6" width="15.7109375" customWidth="1"/>
    <col min="7" max="7" width="15.85546875" customWidth="1"/>
    <col min="8" max="8" width="19.5703125" customWidth="1"/>
  </cols>
  <sheetData>
    <row r="1" spans="1:9" ht="15.75" customHeight="1">
      <c r="A1" s="435" t="s">
        <v>30</v>
      </c>
      <c r="B1" s="435"/>
      <c r="C1" s="435"/>
      <c r="D1" s="435"/>
      <c r="E1" s="435"/>
      <c r="F1" s="435"/>
      <c r="G1" s="435"/>
      <c r="H1" s="435"/>
      <c r="I1" s="14"/>
    </row>
    <row r="2" spans="1:9" ht="15" customHeight="1">
      <c r="A2" s="435"/>
      <c r="B2" s="435"/>
      <c r="C2" s="435"/>
      <c r="D2" s="435"/>
      <c r="E2" s="435"/>
      <c r="F2" s="435"/>
      <c r="G2" s="435"/>
      <c r="H2" s="435"/>
      <c r="I2" s="14"/>
    </row>
    <row r="3" spans="1:9" ht="15.75" thickBot="1"/>
    <row r="4" spans="1:9" ht="65.25" customHeight="1" thickBot="1">
      <c r="A4" s="4" t="s">
        <v>31</v>
      </c>
      <c r="B4" s="4" t="s">
        <v>32</v>
      </c>
      <c r="C4" s="4" t="s">
        <v>33</v>
      </c>
      <c r="D4" s="4" t="s">
        <v>436</v>
      </c>
      <c r="E4" s="4" t="s">
        <v>102</v>
      </c>
      <c r="F4" s="4" t="s">
        <v>40</v>
      </c>
      <c r="G4" s="4" t="s">
        <v>41</v>
      </c>
      <c r="H4" s="4" t="s">
        <v>34</v>
      </c>
    </row>
    <row r="5" spans="1:9" ht="15.75" thickBot="1">
      <c r="A5" s="12">
        <v>1</v>
      </c>
      <c r="B5" s="12">
        <v>2</v>
      </c>
      <c r="C5" s="12">
        <v>3</v>
      </c>
      <c r="D5" s="12">
        <v>4</v>
      </c>
      <c r="E5" s="12" t="s">
        <v>38</v>
      </c>
      <c r="F5" s="12">
        <v>6</v>
      </c>
      <c r="G5" s="12">
        <v>7</v>
      </c>
      <c r="H5" s="12" t="s">
        <v>39</v>
      </c>
    </row>
    <row r="6" spans="1:9" ht="28.5">
      <c r="A6" s="13" t="s">
        <v>36</v>
      </c>
      <c r="B6" s="6" t="s">
        <v>35</v>
      </c>
      <c r="C6" s="6">
        <v>0</v>
      </c>
      <c r="D6" s="5">
        <v>96900</v>
      </c>
      <c r="E6" s="6">
        <v>0</v>
      </c>
      <c r="F6" s="6">
        <v>0</v>
      </c>
      <c r="G6" s="7">
        <v>0</v>
      </c>
      <c r="H6" s="8">
        <v>0</v>
      </c>
    </row>
    <row r="7" spans="1:9" ht="15.75" thickBot="1">
      <c r="A7" s="432" t="s">
        <v>37</v>
      </c>
      <c r="B7" s="433"/>
      <c r="C7" s="433"/>
      <c r="D7" s="433"/>
      <c r="E7" s="433"/>
      <c r="F7" s="433"/>
      <c r="G7" s="434"/>
      <c r="H7" s="9"/>
    </row>
  </sheetData>
  <mergeCells count="2">
    <mergeCell ref="A7:G7"/>
    <mergeCell ref="A1:H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4"/>
  <sheetViews>
    <sheetView workbookViewId="0">
      <selection activeCell="D5" sqref="D5"/>
    </sheetView>
  </sheetViews>
  <sheetFormatPr defaultRowHeight="15"/>
  <cols>
    <col min="1" max="1" width="29.140625" style="48" customWidth="1"/>
    <col min="2" max="2" width="15.5703125" style="48" customWidth="1"/>
    <col min="3" max="3" width="15.85546875" style="48" customWidth="1"/>
    <col min="4" max="4" width="23.7109375" style="48" customWidth="1"/>
    <col min="5" max="5" width="18.5703125" style="48" customWidth="1"/>
    <col min="6" max="6" width="15.140625" style="48" customWidth="1"/>
    <col min="7" max="7" width="16.7109375" style="48" customWidth="1"/>
    <col min="8" max="8" width="17.7109375" style="48" customWidth="1"/>
    <col min="9" max="16384" width="9.140625" style="48"/>
  </cols>
  <sheetData>
    <row r="1" spans="1:8" ht="18.75">
      <c r="A1" s="436" t="s">
        <v>88</v>
      </c>
      <c r="B1" s="436"/>
      <c r="C1" s="436"/>
      <c r="D1" s="436"/>
      <c r="E1" s="436"/>
      <c r="F1" s="436"/>
      <c r="G1" s="436"/>
      <c r="H1" s="436"/>
    </row>
    <row r="3" spans="1:8" ht="53.25" customHeight="1">
      <c r="A3" s="263" t="s">
        <v>56</v>
      </c>
      <c r="B3" s="263" t="s">
        <v>32</v>
      </c>
      <c r="C3" s="263" t="s">
        <v>45</v>
      </c>
      <c r="D3" s="263" t="s">
        <v>46</v>
      </c>
      <c r="E3" s="263" t="s">
        <v>85</v>
      </c>
      <c r="F3" s="263" t="s">
        <v>57</v>
      </c>
      <c r="G3" s="263" t="s">
        <v>48</v>
      </c>
      <c r="H3" s="263" t="s">
        <v>22</v>
      </c>
    </row>
    <row r="4" spans="1:8">
      <c r="A4" s="263">
        <v>1</v>
      </c>
      <c r="B4" s="263">
        <v>2</v>
      </c>
      <c r="C4" s="263">
        <v>3</v>
      </c>
      <c r="D4" s="263">
        <v>4</v>
      </c>
      <c r="E4" s="263">
        <v>5</v>
      </c>
      <c r="F4" s="263" t="s">
        <v>53</v>
      </c>
      <c r="G4" s="263">
        <v>7</v>
      </c>
      <c r="H4" s="263" t="s">
        <v>54</v>
      </c>
    </row>
    <row r="5" spans="1:8" ht="31.5" customHeight="1">
      <c r="A5" s="266" t="s">
        <v>100</v>
      </c>
      <c r="B5" s="263" t="s">
        <v>107</v>
      </c>
      <c r="C5" s="263">
        <v>30</v>
      </c>
      <c r="D5" s="255">
        <v>68130</v>
      </c>
      <c r="E5" s="263">
        <v>0.2</v>
      </c>
      <c r="F5" s="267">
        <f>C5/D5*E5</f>
        <v>8.8066930867459266E-5</v>
      </c>
      <c r="G5" s="255">
        <v>8500</v>
      </c>
      <c r="H5" s="258">
        <f>F5*G5</f>
        <v>0.74856891237340373</v>
      </c>
    </row>
    <row r="6" spans="1:8" ht="31.5" customHeight="1">
      <c r="A6" s="268" t="s">
        <v>90</v>
      </c>
      <c r="B6" s="263" t="s">
        <v>101</v>
      </c>
      <c r="C6" s="263">
        <v>0</v>
      </c>
      <c r="D6" s="255">
        <v>68130</v>
      </c>
      <c r="E6" s="263">
        <v>0.2</v>
      </c>
      <c r="F6" s="267">
        <f>C6/D6*E6</f>
        <v>0</v>
      </c>
      <c r="G6" s="68">
        <v>47000</v>
      </c>
      <c r="H6" s="258">
        <f>F6*G6</f>
        <v>0</v>
      </c>
    </row>
    <row r="7" spans="1:8" ht="15" customHeight="1">
      <c r="A7" s="428" t="s">
        <v>89</v>
      </c>
      <c r="B7" s="428"/>
      <c r="C7" s="428"/>
      <c r="D7" s="428"/>
      <c r="E7" s="428"/>
      <c r="F7" s="428"/>
      <c r="G7" s="428"/>
      <c r="H7" s="269">
        <f>SUM(H5:H6)</f>
        <v>0.74856891237340373</v>
      </c>
    </row>
    <row r="9" spans="1:8">
      <c r="A9" s="48" t="s">
        <v>91</v>
      </c>
      <c r="B9" s="48">
        <v>226</v>
      </c>
      <c r="C9" s="270">
        <v>450000</v>
      </c>
    </row>
    <row r="10" spans="1:8">
      <c r="A10" s="48" t="s">
        <v>90</v>
      </c>
      <c r="B10" s="48">
        <v>2124</v>
      </c>
      <c r="C10" s="270">
        <v>0</v>
      </c>
    </row>
    <row r="14" spans="1:8" ht="15" customHeight="1"/>
  </sheetData>
  <mergeCells count="2">
    <mergeCell ref="A1:H1"/>
    <mergeCell ref="A7:G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16"/>
  <sheetViews>
    <sheetView workbookViewId="0">
      <selection activeCell="A9" sqref="A9"/>
    </sheetView>
  </sheetViews>
  <sheetFormatPr defaultRowHeight="15"/>
  <cols>
    <col min="1" max="1" width="19.28515625" customWidth="1"/>
    <col min="2" max="2" width="14.5703125" customWidth="1"/>
    <col min="3" max="3" width="14.28515625" customWidth="1"/>
    <col min="4" max="4" width="19" customWidth="1"/>
    <col min="5" max="5" width="15.5703125" customWidth="1"/>
    <col min="6" max="6" width="17" customWidth="1"/>
    <col min="7" max="7" width="14.42578125" customWidth="1"/>
    <col min="8" max="8" width="13.5703125" customWidth="1"/>
  </cols>
  <sheetData>
    <row r="1" spans="1:10" ht="15.75">
      <c r="A1" s="11" t="s">
        <v>42</v>
      </c>
    </row>
    <row r="3" spans="1:10" ht="21" customHeight="1">
      <c r="A3" s="438" t="s">
        <v>191</v>
      </c>
      <c r="B3" s="438"/>
      <c r="C3" s="438"/>
      <c r="D3" s="438"/>
      <c r="E3" s="438"/>
      <c r="F3" s="438"/>
      <c r="G3" s="438"/>
      <c r="H3" s="438"/>
      <c r="I3" s="438"/>
      <c r="J3" s="438"/>
    </row>
    <row r="4" spans="1:10" ht="19.5" customHeight="1">
      <c r="A4" s="439" t="s">
        <v>43</v>
      </c>
      <c r="B4" s="439"/>
      <c r="C4" s="439"/>
      <c r="D4" s="439"/>
      <c r="E4" s="439"/>
      <c r="F4" s="439"/>
      <c r="G4" s="439"/>
      <c r="H4" s="439"/>
      <c r="I4" s="439"/>
      <c r="J4" s="439"/>
    </row>
    <row r="5" spans="1:10" ht="35.25" customHeight="1">
      <c r="A5" s="438" t="s">
        <v>106</v>
      </c>
      <c r="B5" s="438"/>
      <c r="C5" s="438"/>
      <c r="D5" s="438"/>
      <c r="E5" s="438"/>
      <c r="F5" s="438"/>
      <c r="G5" s="438"/>
      <c r="H5" s="438"/>
      <c r="I5" s="15"/>
      <c r="J5" s="15"/>
    </row>
    <row r="7" spans="1:10" ht="72" customHeight="1">
      <c r="A7" s="10" t="s">
        <v>44</v>
      </c>
      <c r="B7" s="10" t="s">
        <v>32</v>
      </c>
      <c r="C7" s="10" t="s">
        <v>45</v>
      </c>
      <c r="D7" s="10" t="s">
        <v>46</v>
      </c>
      <c r="E7" s="10" t="s">
        <v>52</v>
      </c>
      <c r="F7" s="10" t="s">
        <v>47</v>
      </c>
      <c r="G7" s="10" t="s">
        <v>48</v>
      </c>
      <c r="H7" s="10" t="s">
        <v>22</v>
      </c>
    </row>
    <row r="8" spans="1:10">
      <c r="A8" s="16">
        <v>1</v>
      </c>
      <c r="B8" s="16">
        <v>2</v>
      </c>
      <c r="C8" s="16">
        <v>3</v>
      </c>
      <c r="D8" s="16">
        <v>4</v>
      </c>
      <c r="E8" s="16">
        <v>5</v>
      </c>
      <c r="F8" s="16" t="s">
        <v>53</v>
      </c>
      <c r="G8" s="16">
        <v>7</v>
      </c>
      <c r="H8" s="16" t="s">
        <v>54</v>
      </c>
    </row>
    <row r="9" spans="1:10">
      <c r="A9" s="17" t="s">
        <v>49</v>
      </c>
      <c r="B9" s="16" t="s">
        <v>103</v>
      </c>
      <c r="C9" s="18">
        <v>71875</v>
      </c>
      <c r="D9" s="18">
        <v>61256</v>
      </c>
      <c r="E9" s="16">
        <v>0.2</v>
      </c>
      <c r="F9" s="38">
        <f>C9/D9*E9</f>
        <v>0.23467088938226463</v>
      </c>
      <c r="G9" s="16">
        <v>35.74</v>
      </c>
      <c r="H9" s="39">
        <f>F9*G9</f>
        <v>8.3871375865221385</v>
      </c>
    </row>
    <row r="10" spans="1:10">
      <c r="A10" s="17" t="s">
        <v>50</v>
      </c>
      <c r="B10" s="16" t="s">
        <v>104</v>
      </c>
      <c r="C10" s="16">
        <v>511.56</v>
      </c>
      <c r="D10" s="18">
        <v>61256</v>
      </c>
      <c r="E10" s="37">
        <v>0.2</v>
      </c>
      <c r="F10" s="38">
        <f>C10/D10*E10</f>
        <v>1.6702363850071831E-3</v>
      </c>
      <c r="G10" s="18">
        <v>8897.4</v>
      </c>
      <c r="H10" s="39">
        <f>F10*G10</f>
        <v>14.86076121196291</v>
      </c>
    </row>
    <row r="11" spans="1:10" ht="18">
      <c r="A11" s="17" t="s">
        <v>84</v>
      </c>
      <c r="B11" s="16" t="s">
        <v>105</v>
      </c>
      <c r="C11" s="16">
        <v>15</v>
      </c>
      <c r="D11" s="18">
        <v>61256</v>
      </c>
      <c r="E11" s="37">
        <v>0.2</v>
      </c>
      <c r="F11" s="38">
        <f>C11/D11*E11</f>
        <v>4.8974794305863917E-5</v>
      </c>
      <c r="G11" s="16">
        <v>331.46</v>
      </c>
      <c r="H11" s="39">
        <f>F11*G11</f>
        <v>1.6233185320621651E-2</v>
      </c>
    </row>
    <row r="12" spans="1:10">
      <c r="A12" s="437" t="s">
        <v>51</v>
      </c>
      <c r="B12" s="437"/>
      <c r="C12" s="437"/>
      <c r="D12" s="437"/>
      <c r="E12" s="437"/>
      <c r="F12" s="437"/>
      <c r="G12" s="437"/>
      <c r="H12" s="46">
        <f>H9+H10+H11</f>
        <v>23.264131983805669</v>
      </c>
    </row>
    <row r="14" spans="1:10">
      <c r="B14">
        <v>2231</v>
      </c>
      <c r="C14" s="26">
        <v>4551553.9400000004</v>
      </c>
    </row>
    <row r="15" spans="1:10">
      <c r="B15">
        <v>2233</v>
      </c>
      <c r="C15" s="26">
        <v>2568812.5</v>
      </c>
    </row>
    <row r="16" spans="1:10">
      <c r="B16">
        <v>2234</v>
      </c>
      <c r="C16" s="26">
        <v>9377.4</v>
      </c>
    </row>
  </sheetData>
  <mergeCells count="4">
    <mergeCell ref="A12:G12"/>
    <mergeCell ref="A5:H5"/>
    <mergeCell ref="A4:J4"/>
    <mergeCell ref="A3:J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6"/>
  <sheetViews>
    <sheetView workbookViewId="0">
      <selection activeCell="I22" sqref="I22"/>
    </sheetView>
  </sheetViews>
  <sheetFormatPr defaultRowHeight="15"/>
  <cols>
    <col min="1" max="1" width="39" style="19" customWidth="1"/>
    <col min="2" max="2" width="12.140625" style="19" customWidth="1"/>
    <col min="3" max="3" width="9.140625" style="19"/>
    <col min="4" max="4" width="14.5703125" style="19" customWidth="1"/>
    <col min="5" max="5" width="13.7109375" style="19" customWidth="1"/>
    <col min="6" max="6" width="13.140625" style="19" customWidth="1"/>
    <col min="7" max="7" width="16.140625" style="19" customWidth="1"/>
    <col min="8" max="8" width="10.42578125" style="19" customWidth="1"/>
    <col min="9" max="16384" width="9.140625" style="19"/>
  </cols>
  <sheetData>
    <row r="1" spans="1:8">
      <c r="A1" s="440" t="s">
        <v>55</v>
      </c>
      <c r="B1" s="440"/>
      <c r="C1" s="440"/>
      <c r="D1" s="440"/>
      <c r="E1" s="440"/>
      <c r="F1" s="440"/>
      <c r="G1" s="440"/>
      <c r="H1" s="440"/>
    </row>
    <row r="3" spans="1:8" ht="59.25" customHeight="1">
      <c r="A3" s="10" t="s">
        <v>56</v>
      </c>
      <c r="B3" s="10" t="s">
        <v>32</v>
      </c>
      <c r="C3" s="10" t="s">
        <v>45</v>
      </c>
      <c r="D3" s="10" t="s">
        <v>46</v>
      </c>
      <c r="E3" s="10" t="s">
        <v>85</v>
      </c>
      <c r="F3" s="10" t="s">
        <v>57</v>
      </c>
      <c r="G3" s="10" t="s">
        <v>48</v>
      </c>
      <c r="H3" s="10" t="s">
        <v>22</v>
      </c>
    </row>
    <row r="4" spans="1:8" ht="19.5" customHeight="1">
      <c r="A4" s="16">
        <v>1</v>
      </c>
      <c r="B4" s="16">
        <v>2</v>
      </c>
      <c r="C4" s="16">
        <v>3</v>
      </c>
      <c r="D4" s="16">
        <v>4</v>
      </c>
      <c r="E4" s="16">
        <v>5</v>
      </c>
      <c r="F4" s="16" t="s">
        <v>53</v>
      </c>
      <c r="G4" s="16">
        <v>7</v>
      </c>
      <c r="H4" s="16" t="s">
        <v>54</v>
      </c>
    </row>
    <row r="5" spans="1:8" ht="33" customHeight="1">
      <c r="A5" s="20"/>
      <c r="B5" s="16"/>
      <c r="C5" s="16"/>
      <c r="D5" s="18"/>
      <c r="E5" s="16"/>
      <c r="F5" s="16"/>
      <c r="G5" s="18"/>
      <c r="H5" s="39">
        <f>F5*G5</f>
        <v>0</v>
      </c>
    </row>
    <row r="6" spans="1:8" ht="27.75" customHeight="1">
      <c r="A6" s="437" t="s">
        <v>58</v>
      </c>
      <c r="B6" s="437"/>
      <c r="C6" s="437"/>
      <c r="D6" s="437"/>
      <c r="E6" s="437"/>
      <c r="F6" s="437"/>
      <c r="G6" s="437"/>
      <c r="H6" s="22">
        <f>H5</f>
        <v>0</v>
      </c>
    </row>
  </sheetData>
  <mergeCells count="2">
    <mergeCell ref="A6:G6"/>
    <mergeCell ref="A1:H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I6"/>
  <sheetViews>
    <sheetView workbookViewId="0">
      <selection activeCell="C5" sqref="C5"/>
    </sheetView>
  </sheetViews>
  <sheetFormatPr defaultRowHeight="15"/>
  <cols>
    <col min="1" max="1" width="32.85546875" style="19" customWidth="1"/>
    <col min="2" max="2" width="11.5703125" style="19" customWidth="1"/>
    <col min="3" max="3" width="9.140625" style="19"/>
    <col min="4" max="4" width="14" style="19" customWidth="1"/>
    <col min="5" max="5" width="14.42578125" style="19" customWidth="1"/>
    <col min="6" max="6" width="14.5703125" style="19" customWidth="1"/>
    <col min="7" max="7" width="11.42578125" style="19" customWidth="1"/>
    <col min="8" max="8" width="9.140625" style="19"/>
    <col min="9" max="9" width="13.42578125" style="19" customWidth="1"/>
    <col min="10" max="16384" width="9.140625" style="19"/>
  </cols>
  <sheetData>
    <row r="1" spans="1:9">
      <c r="A1" s="440" t="s">
        <v>59</v>
      </c>
      <c r="B1" s="440"/>
      <c r="C1" s="440"/>
      <c r="D1" s="440"/>
      <c r="E1" s="440"/>
      <c r="F1" s="440"/>
      <c r="G1" s="440"/>
      <c r="H1" s="440"/>
      <c r="I1" s="440"/>
    </row>
    <row r="3" spans="1:9" ht="70.5" customHeight="1">
      <c r="A3" s="10" t="s">
        <v>60</v>
      </c>
      <c r="B3" s="10" t="s">
        <v>32</v>
      </c>
      <c r="C3" s="10" t="s">
        <v>45</v>
      </c>
      <c r="D3" s="10" t="s">
        <v>46</v>
      </c>
      <c r="E3" s="10" t="s">
        <v>52</v>
      </c>
      <c r="F3" s="10" t="s">
        <v>57</v>
      </c>
      <c r="G3" s="10" t="s">
        <v>48</v>
      </c>
      <c r="H3" s="10" t="s">
        <v>61</v>
      </c>
      <c r="I3" s="10" t="s">
        <v>22</v>
      </c>
    </row>
    <row r="4" spans="1:9" ht="17.25" customHeight="1">
      <c r="A4" s="16">
        <v>1</v>
      </c>
      <c r="B4" s="16">
        <v>2</v>
      </c>
      <c r="C4" s="16">
        <v>3</v>
      </c>
      <c r="D4" s="16">
        <v>4</v>
      </c>
      <c r="E4" s="16">
        <v>5</v>
      </c>
      <c r="F4" s="16" t="s">
        <v>53</v>
      </c>
      <c r="G4" s="16">
        <v>7</v>
      </c>
      <c r="H4" s="16">
        <v>8</v>
      </c>
      <c r="I4" s="16" t="s">
        <v>72</v>
      </c>
    </row>
    <row r="5" spans="1:9" s="42" customFormat="1" ht="15" customHeight="1">
      <c r="A5" s="41"/>
      <c r="B5" s="20"/>
      <c r="C5" s="25"/>
      <c r="D5" s="18"/>
      <c r="E5" s="25"/>
      <c r="F5" s="25"/>
      <c r="G5" s="45"/>
      <c r="H5" s="25"/>
      <c r="I5" s="39">
        <f>F5*G5*H5</f>
        <v>0</v>
      </c>
    </row>
    <row r="6" spans="1:9">
      <c r="A6" s="43" t="s">
        <v>62</v>
      </c>
      <c r="B6" s="44"/>
      <c r="C6" s="44"/>
      <c r="D6" s="44"/>
      <c r="E6" s="44"/>
      <c r="F6" s="44"/>
      <c r="G6" s="44"/>
      <c r="H6" s="44"/>
      <c r="I6" s="46">
        <f>SUM(I5:I5)</f>
        <v>0</v>
      </c>
    </row>
  </sheetData>
  <mergeCells count="1">
    <mergeCell ref="A1:I1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H6"/>
  <sheetViews>
    <sheetView workbookViewId="0">
      <selection activeCell="G5" sqref="G5"/>
    </sheetView>
  </sheetViews>
  <sheetFormatPr defaultRowHeight="15"/>
  <cols>
    <col min="1" max="1" width="20.140625" style="19" customWidth="1"/>
    <col min="2" max="3" width="9.140625" style="19"/>
    <col min="4" max="4" width="13.28515625" style="19" customWidth="1"/>
    <col min="5" max="5" width="9.140625" style="19"/>
    <col min="6" max="6" width="14" style="19" customWidth="1"/>
    <col min="7" max="7" width="12.42578125" style="19" customWidth="1"/>
    <col min="8" max="8" width="14.7109375" style="19" customWidth="1"/>
    <col min="9" max="16384" width="9.140625" style="19"/>
  </cols>
  <sheetData>
    <row r="1" spans="1:8">
      <c r="A1" s="440" t="s">
        <v>63</v>
      </c>
      <c r="B1" s="440"/>
      <c r="C1" s="440"/>
      <c r="D1" s="440"/>
      <c r="E1" s="440"/>
      <c r="F1" s="440"/>
      <c r="G1" s="440"/>
      <c r="H1" s="440"/>
    </row>
    <row r="3" spans="1:8" ht="111.75" customHeight="1">
      <c r="A3" s="16" t="s">
        <v>64</v>
      </c>
      <c r="B3" s="16" t="s">
        <v>32</v>
      </c>
      <c r="C3" s="16" t="s">
        <v>45</v>
      </c>
      <c r="D3" s="16" t="s">
        <v>46</v>
      </c>
      <c r="E3" s="16" t="s">
        <v>85</v>
      </c>
      <c r="F3" s="16" t="s">
        <v>57</v>
      </c>
      <c r="G3" s="16" t="s">
        <v>48</v>
      </c>
      <c r="H3" s="16" t="s">
        <v>22</v>
      </c>
    </row>
    <row r="4" spans="1:8" ht="20.25" customHeight="1">
      <c r="A4" s="16">
        <v>1</v>
      </c>
      <c r="B4" s="16">
        <v>2</v>
      </c>
      <c r="C4" s="16">
        <v>3</v>
      </c>
      <c r="D4" s="16">
        <v>4</v>
      </c>
      <c r="E4" s="16">
        <v>5</v>
      </c>
      <c r="F4" s="16" t="s">
        <v>53</v>
      </c>
      <c r="G4" s="16">
        <v>7</v>
      </c>
      <c r="H4" s="16" t="s">
        <v>54</v>
      </c>
    </row>
    <row r="5" spans="1:8" ht="30" customHeight="1">
      <c r="A5" s="21"/>
      <c r="B5" s="25"/>
      <c r="C5" s="16"/>
      <c r="D5" s="18"/>
      <c r="E5" s="40"/>
      <c r="F5" s="25"/>
      <c r="G5" s="18"/>
      <c r="H5" s="18">
        <f>F5*G5</f>
        <v>0</v>
      </c>
    </row>
    <row r="6" spans="1:8">
      <c r="A6" s="441" t="s">
        <v>65</v>
      </c>
      <c r="B6" s="441"/>
      <c r="C6" s="441"/>
      <c r="D6" s="441"/>
      <c r="E6" s="441"/>
      <c r="F6" s="441"/>
      <c r="G6" s="441"/>
      <c r="H6" s="47">
        <f>H5</f>
        <v>0</v>
      </c>
    </row>
  </sheetData>
  <mergeCells count="2">
    <mergeCell ref="A6:G6"/>
    <mergeCell ref="A1:H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H15"/>
  <sheetViews>
    <sheetView workbookViewId="0">
      <selection activeCell="D6" sqref="D6"/>
    </sheetView>
  </sheetViews>
  <sheetFormatPr defaultRowHeight="15"/>
  <cols>
    <col min="1" max="1" width="26.140625" style="271" customWidth="1"/>
    <col min="2" max="2" width="14.42578125" style="271" customWidth="1"/>
    <col min="3" max="3" width="12.5703125" style="271" customWidth="1"/>
    <col min="4" max="4" width="16.140625" style="271" customWidth="1"/>
    <col min="5" max="5" width="12" style="271" customWidth="1"/>
    <col min="6" max="6" width="18.28515625" style="271" customWidth="1"/>
    <col min="7" max="7" width="19.7109375" style="271" customWidth="1"/>
    <col min="8" max="8" width="16.85546875" style="271" customWidth="1"/>
    <col min="9" max="16384" width="9.140625" style="271"/>
  </cols>
  <sheetData>
    <row r="1" spans="1:8">
      <c r="A1" s="442" t="s">
        <v>66</v>
      </c>
      <c r="B1" s="442"/>
      <c r="C1" s="442"/>
      <c r="D1" s="442"/>
      <c r="E1" s="442"/>
      <c r="F1" s="442"/>
      <c r="G1" s="442"/>
      <c r="H1" s="442"/>
    </row>
    <row r="2" spans="1:8">
      <c r="A2" s="443"/>
      <c r="B2" s="443"/>
      <c r="C2" s="443"/>
      <c r="D2" s="443"/>
      <c r="E2" s="443"/>
      <c r="F2" s="443"/>
      <c r="G2" s="443"/>
      <c r="H2" s="443"/>
    </row>
    <row r="3" spans="1:8" ht="73.5" customHeight="1">
      <c r="A3" s="263" t="s">
        <v>18</v>
      </c>
      <c r="B3" s="263" t="s">
        <v>19</v>
      </c>
      <c r="C3" s="263" t="s">
        <v>20</v>
      </c>
      <c r="D3" s="263" t="s">
        <v>46</v>
      </c>
      <c r="E3" s="263" t="s">
        <v>52</v>
      </c>
      <c r="F3" s="263" t="s">
        <v>57</v>
      </c>
      <c r="G3" s="263" t="s">
        <v>67</v>
      </c>
      <c r="H3" s="263" t="s">
        <v>22</v>
      </c>
    </row>
    <row r="4" spans="1:8" ht="12.75" customHeight="1">
      <c r="A4" s="263">
        <v>1</v>
      </c>
      <c r="B4" s="263">
        <v>2</v>
      </c>
      <c r="C4" s="263">
        <v>3</v>
      </c>
      <c r="D4" s="263">
        <v>4</v>
      </c>
      <c r="E4" s="263">
        <v>5</v>
      </c>
      <c r="F4" s="263" t="s">
        <v>53</v>
      </c>
      <c r="G4" s="263" t="s">
        <v>73</v>
      </c>
      <c r="H4" s="263" t="s">
        <v>54</v>
      </c>
    </row>
    <row r="5" spans="1:8">
      <c r="A5" s="228" t="s">
        <v>97</v>
      </c>
      <c r="B5" s="262">
        <v>28342.58</v>
      </c>
      <c r="C5" s="227">
        <v>1</v>
      </c>
      <c r="D5" s="255">
        <v>68130</v>
      </c>
      <c r="E5" s="263">
        <v>0.2</v>
      </c>
      <c r="F5" s="272">
        <f>C5/D5*E5</f>
        <v>2.9355643622486423E-6</v>
      </c>
      <c r="G5" s="255">
        <f>B5*C5*12*1.302</f>
        <v>442824.46992000006</v>
      </c>
      <c r="H5" s="259">
        <f>F5*G5</f>
        <v>1.299939732628798</v>
      </c>
    </row>
    <row r="6" spans="1:8">
      <c r="A6" s="228" t="s">
        <v>98</v>
      </c>
      <c r="B6" s="262">
        <v>10842</v>
      </c>
      <c r="C6" s="227">
        <v>1</v>
      </c>
      <c r="D6" s="255">
        <v>68130</v>
      </c>
      <c r="E6" s="263">
        <v>0.2</v>
      </c>
      <c r="F6" s="272">
        <f>C6/D6*E6</f>
        <v>2.9355643622486423E-6</v>
      </c>
      <c r="G6" s="255">
        <f>B6*C6*12*1.302</f>
        <v>169395.408</v>
      </c>
      <c r="H6" s="259">
        <f>F6*G6</f>
        <v>0.49727112285336855</v>
      </c>
    </row>
    <row r="7" spans="1:8">
      <c r="A7" s="228"/>
      <c r="B7" s="262"/>
      <c r="C7" s="234">
        <v>0</v>
      </c>
      <c r="D7" s="255">
        <v>68130</v>
      </c>
      <c r="E7" s="263">
        <v>0.2</v>
      </c>
      <c r="F7" s="272">
        <f>C7/D7*E7</f>
        <v>0</v>
      </c>
      <c r="G7" s="255">
        <f>B7*C7*12*1.302</f>
        <v>0</v>
      </c>
      <c r="H7" s="259">
        <f>F7*G7</f>
        <v>0</v>
      </c>
    </row>
    <row r="8" spans="1:8">
      <c r="A8" s="228"/>
      <c r="B8" s="262"/>
      <c r="C8" s="234">
        <v>0</v>
      </c>
      <c r="D8" s="255">
        <v>68130</v>
      </c>
      <c r="E8" s="263">
        <v>0.2</v>
      </c>
      <c r="F8" s="272">
        <f>C8/D8*E8</f>
        <v>0</v>
      </c>
      <c r="G8" s="255">
        <f>B8*C8*12*1.302</f>
        <v>0</v>
      </c>
      <c r="H8" s="259">
        <f>F8*G8</f>
        <v>0</v>
      </c>
    </row>
    <row r="9" spans="1:8" ht="37.5" customHeight="1">
      <c r="A9" s="428" t="s">
        <v>68</v>
      </c>
      <c r="B9" s="428"/>
      <c r="C9" s="428"/>
      <c r="D9" s="428"/>
      <c r="E9" s="428"/>
      <c r="F9" s="428"/>
      <c r="G9" s="428"/>
      <c r="H9" s="264">
        <f>SUM(H5:H7)</f>
        <v>1.7972108554821666</v>
      </c>
    </row>
    <row r="11" spans="1:8">
      <c r="B11" s="273">
        <f>B5+B6+B7+B8</f>
        <v>39184.58</v>
      </c>
      <c r="C11" s="271">
        <f>C5+C6+C7+C8</f>
        <v>2</v>
      </c>
    </row>
    <row r="13" spans="1:8">
      <c r="B13" s="271">
        <v>211</v>
      </c>
      <c r="C13" s="273">
        <f>B11*C11*12</f>
        <v>940429.92</v>
      </c>
    </row>
    <row r="14" spans="1:8">
      <c r="B14" s="271">
        <v>213</v>
      </c>
      <c r="C14" s="273">
        <f>C13*30.2%</f>
        <v>284009.83584000001</v>
      </c>
    </row>
    <row r="15" spans="1:8">
      <c r="B15" s="274" t="s">
        <v>109</v>
      </c>
      <c r="C15" s="273">
        <f>C13+C14</f>
        <v>1224439.75584</v>
      </c>
    </row>
  </sheetData>
  <mergeCells count="2">
    <mergeCell ref="A9:G9"/>
    <mergeCell ref="A1:H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H8"/>
  <sheetViews>
    <sheetView tabSelected="1" workbookViewId="0">
      <selection activeCell="L12" sqref="L12"/>
    </sheetView>
  </sheetViews>
  <sheetFormatPr defaultRowHeight="15"/>
  <cols>
    <col min="1" max="1" width="46.42578125" style="271" customWidth="1"/>
    <col min="2" max="2" width="8.85546875" style="271" customWidth="1"/>
    <col min="3" max="3" width="12.28515625" style="271" customWidth="1"/>
    <col min="4" max="4" width="14" style="271" customWidth="1"/>
    <col min="5" max="5" width="13.5703125" style="271" customWidth="1"/>
    <col min="6" max="6" width="13" style="271" customWidth="1"/>
    <col min="7" max="7" width="10" style="271" bestFit="1" customWidth="1"/>
    <col min="8" max="8" width="15" style="271" customWidth="1"/>
    <col min="9" max="16384" width="9.140625" style="271"/>
  </cols>
  <sheetData>
    <row r="1" spans="1:8">
      <c r="A1" s="445" t="s">
        <v>69</v>
      </c>
      <c r="B1" s="445"/>
      <c r="C1" s="445"/>
      <c r="D1" s="445"/>
      <c r="E1" s="445"/>
      <c r="F1" s="445"/>
      <c r="G1" s="445"/>
      <c r="H1" s="445"/>
    </row>
    <row r="2" spans="1:8">
      <c r="A2" s="275"/>
      <c r="B2" s="275"/>
      <c r="C2" s="275"/>
      <c r="D2" s="275"/>
      <c r="E2" s="275"/>
      <c r="F2" s="275"/>
      <c r="G2" s="275"/>
      <c r="H2" s="275"/>
    </row>
    <row r="3" spans="1:8" ht="111.75" customHeight="1">
      <c r="A3" s="263" t="s">
        <v>70</v>
      </c>
      <c r="B3" s="263" t="s">
        <v>32</v>
      </c>
      <c r="C3" s="263" t="s">
        <v>45</v>
      </c>
      <c r="D3" s="263" t="s">
        <v>46</v>
      </c>
      <c r="E3" s="263" t="s">
        <v>52</v>
      </c>
      <c r="F3" s="263" t="s">
        <v>57</v>
      </c>
      <c r="G3" s="263" t="s">
        <v>48</v>
      </c>
      <c r="H3" s="263" t="s">
        <v>22</v>
      </c>
    </row>
    <row r="4" spans="1:8" ht="18.75" customHeight="1">
      <c r="A4" s="263">
        <v>1</v>
      </c>
      <c r="B4" s="263">
        <v>2</v>
      </c>
      <c r="C4" s="263">
        <v>3</v>
      </c>
      <c r="D4" s="263">
        <v>4</v>
      </c>
      <c r="E4" s="263">
        <v>5</v>
      </c>
      <c r="F4" s="263" t="s">
        <v>53</v>
      </c>
      <c r="G4" s="263">
        <v>7</v>
      </c>
      <c r="H4" s="263" t="s">
        <v>54</v>
      </c>
    </row>
    <row r="5" spans="1:8">
      <c r="A5" s="276" t="s">
        <v>86</v>
      </c>
      <c r="B5" s="255" t="s">
        <v>87</v>
      </c>
      <c r="C5" s="255">
        <v>100</v>
      </c>
      <c r="D5" s="255">
        <v>61151</v>
      </c>
      <c r="E5" s="255">
        <v>0.2</v>
      </c>
      <c r="F5" s="255">
        <f>C5/D5*5</f>
        <v>8.1764811695638658E-3</v>
      </c>
      <c r="G5" s="255">
        <v>559.69000000000005</v>
      </c>
      <c r="H5" s="255">
        <f>F5*G5</f>
        <v>4.5762947457932004</v>
      </c>
    </row>
    <row r="6" spans="1:8">
      <c r="A6" s="444" t="s">
        <v>71</v>
      </c>
      <c r="B6" s="444"/>
      <c r="C6" s="444"/>
      <c r="D6" s="444"/>
      <c r="E6" s="444"/>
      <c r="F6" s="444"/>
      <c r="G6" s="444"/>
      <c r="H6" s="277">
        <f>H5</f>
        <v>4.5762947457932004</v>
      </c>
    </row>
    <row r="7" spans="1:8" ht="15.75">
      <c r="B7" s="278"/>
      <c r="C7" s="279"/>
    </row>
    <row r="8" spans="1:8">
      <c r="B8" s="271">
        <v>340</v>
      </c>
      <c r="C8" s="273">
        <v>176822.27</v>
      </c>
    </row>
  </sheetData>
  <mergeCells count="2">
    <mergeCell ref="A6:G6"/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77"/>
  <sheetViews>
    <sheetView topLeftCell="A64" zoomScaleNormal="100" workbookViewId="0">
      <selection activeCell="A6" sqref="A6:I6"/>
    </sheetView>
  </sheetViews>
  <sheetFormatPr defaultRowHeight="15.75"/>
  <cols>
    <col min="1" max="1" width="6.7109375" style="52" customWidth="1"/>
    <col min="2" max="2" width="9.28515625" style="52" customWidth="1"/>
    <col min="3" max="3" width="12.7109375" style="52" customWidth="1"/>
    <col min="4" max="4" width="9.140625" style="52"/>
    <col min="5" max="5" width="5.42578125" style="52" customWidth="1"/>
    <col min="6" max="6" width="13.5703125" style="52" customWidth="1"/>
    <col min="7" max="7" width="16.42578125" style="52" bestFit="1" customWidth="1"/>
    <col min="8" max="8" width="24" style="52" customWidth="1"/>
    <col min="9" max="9" width="18" style="52" bestFit="1" customWidth="1"/>
    <col min="10" max="10" width="15.7109375" style="52" bestFit="1" customWidth="1"/>
    <col min="11" max="11" width="15.140625" style="88" bestFit="1" customWidth="1"/>
    <col min="12" max="13" width="15.7109375" style="52" bestFit="1" customWidth="1"/>
    <col min="14" max="248" width="9.140625" style="52"/>
    <col min="249" max="249" width="0.42578125" style="52" customWidth="1"/>
    <col min="250" max="250" width="9.28515625" style="52" bestFit="1" customWidth="1"/>
    <col min="251" max="252" width="9.140625" style="52"/>
    <col min="253" max="253" width="5.42578125" style="52" customWidth="1"/>
    <col min="254" max="254" width="10.7109375" style="52" customWidth="1"/>
    <col min="255" max="255" width="15.140625" style="52" bestFit="1" customWidth="1"/>
    <col min="256" max="257" width="16.140625" style="52" customWidth="1"/>
    <col min="258" max="504" width="9.140625" style="52"/>
    <col min="505" max="505" width="0.42578125" style="52" customWidth="1"/>
    <col min="506" max="506" width="9.28515625" style="52" bestFit="1" customWidth="1"/>
    <col min="507" max="508" width="9.140625" style="52"/>
    <col min="509" max="509" width="5.42578125" style="52" customWidth="1"/>
    <col min="510" max="510" width="10.7109375" style="52" customWidth="1"/>
    <col min="511" max="511" width="15.140625" style="52" bestFit="1" customWidth="1"/>
    <col min="512" max="513" width="16.140625" style="52" customWidth="1"/>
    <col min="514" max="760" width="9.140625" style="52"/>
    <col min="761" max="761" width="0.42578125" style="52" customWidth="1"/>
    <col min="762" max="762" width="9.28515625" style="52" bestFit="1" customWidth="1"/>
    <col min="763" max="764" width="9.140625" style="52"/>
    <col min="765" max="765" width="5.42578125" style="52" customWidth="1"/>
    <col min="766" max="766" width="10.7109375" style="52" customWidth="1"/>
    <col min="767" max="767" width="15.140625" style="52" bestFit="1" customWidth="1"/>
    <col min="768" max="769" width="16.140625" style="52" customWidth="1"/>
    <col min="770" max="1016" width="9.140625" style="52"/>
    <col min="1017" max="1017" width="0.42578125" style="52" customWidth="1"/>
    <col min="1018" max="1018" width="9.28515625" style="52" bestFit="1" customWidth="1"/>
    <col min="1019" max="1020" width="9.140625" style="52"/>
    <col min="1021" max="1021" width="5.42578125" style="52" customWidth="1"/>
    <col min="1022" max="1022" width="10.7109375" style="52" customWidth="1"/>
    <col min="1023" max="1023" width="15.140625" style="52" bestFit="1" customWidth="1"/>
    <col min="1024" max="1025" width="16.140625" style="52" customWidth="1"/>
    <col min="1026" max="1272" width="9.140625" style="52"/>
    <col min="1273" max="1273" width="0.42578125" style="52" customWidth="1"/>
    <col min="1274" max="1274" width="9.28515625" style="52" bestFit="1" customWidth="1"/>
    <col min="1275" max="1276" width="9.140625" style="52"/>
    <col min="1277" max="1277" width="5.42578125" style="52" customWidth="1"/>
    <col min="1278" max="1278" width="10.7109375" style="52" customWidth="1"/>
    <col min="1279" max="1279" width="15.140625" style="52" bestFit="1" customWidth="1"/>
    <col min="1280" max="1281" width="16.140625" style="52" customWidth="1"/>
    <col min="1282" max="1528" width="9.140625" style="52"/>
    <col min="1529" max="1529" width="0.42578125" style="52" customWidth="1"/>
    <col min="1530" max="1530" width="9.28515625" style="52" bestFit="1" customWidth="1"/>
    <col min="1531" max="1532" width="9.140625" style="52"/>
    <col min="1533" max="1533" width="5.42578125" style="52" customWidth="1"/>
    <col min="1534" max="1534" width="10.7109375" style="52" customWidth="1"/>
    <col min="1535" max="1535" width="15.140625" style="52" bestFit="1" customWidth="1"/>
    <col min="1536" max="1537" width="16.140625" style="52" customWidth="1"/>
    <col min="1538" max="1784" width="9.140625" style="52"/>
    <col min="1785" max="1785" width="0.42578125" style="52" customWidth="1"/>
    <col min="1786" max="1786" width="9.28515625" style="52" bestFit="1" customWidth="1"/>
    <col min="1787" max="1788" width="9.140625" style="52"/>
    <col min="1789" max="1789" width="5.42578125" style="52" customWidth="1"/>
    <col min="1790" max="1790" width="10.7109375" style="52" customWidth="1"/>
    <col min="1791" max="1791" width="15.140625" style="52" bestFit="1" customWidth="1"/>
    <col min="1792" max="1793" width="16.140625" style="52" customWidth="1"/>
    <col min="1794" max="2040" width="9.140625" style="52"/>
    <col min="2041" max="2041" width="0.42578125" style="52" customWidth="1"/>
    <col min="2042" max="2042" width="9.28515625" style="52" bestFit="1" customWidth="1"/>
    <col min="2043" max="2044" width="9.140625" style="52"/>
    <col min="2045" max="2045" width="5.42578125" style="52" customWidth="1"/>
    <col min="2046" max="2046" width="10.7109375" style="52" customWidth="1"/>
    <col min="2047" max="2047" width="15.140625" style="52" bestFit="1" customWidth="1"/>
    <col min="2048" max="2049" width="16.140625" style="52" customWidth="1"/>
    <col min="2050" max="2296" width="9.140625" style="52"/>
    <col min="2297" max="2297" width="0.42578125" style="52" customWidth="1"/>
    <col min="2298" max="2298" width="9.28515625" style="52" bestFit="1" customWidth="1"/>
    <col min="2299" max="2300" width="9.140625" style="52"/>
    <col min="2301" max="2301" width="5.42578125" style="52" customWidth="1"/>
    <col min="2302" max="2302" width="10.7109375" style="52" customWidth="1"/>
    <col min="2303" max="2303" width="15.140625" style="52" bestFit="1" customWidth="1"/>
    <col min="2304" max="2305" width="16.140625" style="52" customWidth="1"/>
    <col min="2306" max="2552" width="9.140625" style="52"/>
    <col min="2553" max="2553" width="0.42578125" style="52" customWidth="1"/>
    <col min="2554" max="2554" width="9.28515625" style="52" bestFit="1" customWidth="1"/>
    <col min="2555" max="2556" width="9.140625" style="52"/>
    <col min="2557" max="2557" width="5.42578125" style="52" customWidth="1"/>
    <col min="2558" max="2558" width="10.7109375" style="52" customWidth="1"/>
    <col min="2559" max="2559" width="15.140625" style="52" bestFit="1" customWidth="1"/>
    <col min="2560" max="2561" width="16.140625" style="52" customWidth="1"/>
    <col min="2562" max="2808" width="9.140625" style="52"/>
    <col min="2809" max="2809" width="0.42578125" style="52" customWidth="1"/>
    <col min="2810" max="2810" width="9.28515625" style="52" bestFit="1" customWidth="1"/>
    <col min="2811" max="2812" width="9.140625" style="52"/>
    <col min="2813" max="2813" width="5.42578125" style="52" customWidth="1"/>
    <col min="2814" max="2814" width="10.7109375" style="52" customWidth="1"/>
    <col min="2815" max="2815" width="15.140625" style="52" bestFit="1" customWidth="1"/>
    <col min="2816" max="2817" width="16.140625" style="52" customWidth="1"/>
    <col min="2818" max="3064" width="9.140625" style="52"/>
    <col min="3065" max="3065" width="0.42578125" style="52" customWidth="1"/>
    <col min="3066" max="3066" width="9.28515625" style="52" bestFit="1" customWidth="1"/>
    <col min="3067" max="3068" width="9.140625" style="52"/>
    <col min="3069" max="3069" width="5.42578125" style="52" customWidth="1"/>
    <col min="3070" max="3070" width="10.7109375" style="52" customWidth="1"/>
    <col min="3071" max="3071" width="15.140625" style="52" bestFit="1" customWidth="1"/>
    <col min="3072" max="3073" width="16.140625" style="52" customWidth="1"/>
    <col min="3074" max="3320" width="9.140625" style="52"/>
    <col min="3321" max="3321" width="0.42578125" style="52" customWidth="1"/>
    <col min="3322" max="3322" width="9.28515625" style="52" bestFit="1" customWidth="1"/>
    <col min="3323" max="3324" width="9.140625" style="52"/>
    <col min="3325" max="3325" width="5.42578125" style="52" customWidth="1"/>
    <col min="3326" max="3326" width="10.7109375" style="52" customWidth="1"/>
    <col min="3327" max="3327" width="15.140625" style="52" bestFit="1" customWidth="1"/>
    <col min="3328" max="3329" width="16.140625" style="52" customWidth="1"/>
    <col min="3330" max="3576" width="9.140625" style="52"/>
    <col min="3577" max="3577" width="0.42578125" style="52" customWidth="1"/>
    <col min="3578" max="3578" width="9.28515625" style="52" bestFit="1" customWidth="1"/>
    <col min="3579" max="3580" width="9.140625" style="52"/>
    <col min="3581" max="3581" width="5.42578125" style="52" customWidth="1"/>
    <col min="3582" max="3582" width="10.7109375" style="52" customWidth="1"/>
    <col min="3583" max="3583" width="15.140625" style="52" bestFit="1" customWidth="1"/>
    <col min="3584" max="3585" width="16.140625" style="52" customWidth="1"/>
    <col min="3586" max="3832" width="9.140625" style="52"/>
    <col min="3833" max="3833" width="0.42578125" style="52" customWidth="1"/>
    <col min="3834" max="3834" width="9.28515625" style="52" bestFit="1" customWidth="1"/>
    <col min="3835" max="3836" width="9.140625" style="52"/>
    <col min="3837" max="3837" width="5.42578125" style="52" customWidth="1"/>
    <col min="3838" max="3838" width="10.7109375" style="52" customWidth="1"/>
    <col min="3839" max="3839" width="15.140625" style="52" bestFit="1" customWidth="1"/>
    <col min="3840" max="3841" width="16.140625" style="52" customWidth="1"/>
    <col min="3842" max="4088" width="9.140625" style="52"/>
    <col min="4089" max="4089" width="0.42578125" style="52" customWidth="1"/>
    <col min="4090" max="4090" width="9.28515625" style="52" bestFit="1" customWidth="1"/>
    <col min="4091" max="4092" width="9.140625" style="52"/>
    <col min="4093" max="4093" width="5.42578125" style="52" customWidth="1"/>
    <col min="4094" max="4094" width="10.7109375" style="52" customWidth="1"/>
    <col min="4095" max="4095" width="15.140625" style="52" bestFit="1" customWidth="1"/>
    <col min="4096" max="4097" width="16.140625" style="52" customWidth="1"/>
    <col min="4098" max="4344" width="9.140625" style="52"/>
    <col min="4345" max="4345" width="0.42578125" style="52" customWidth="1"/>
    <col min="4346" max="4346" width="9.28515625" style="52" bestFit="1" customWidth="1"/>
    <col min="4347" max="4348" width="9.140625" style="52"/>
    <col min="4349" max="4349" width="5.42578125" style="52" customWidth="1"/>
    <col min="4350" max="4350" width="10.7109375" style="52" customWidth="1"/>
    <col min="4351" max="4351" width="15.140625" style="52" bestFit="1" customWidth="1"/>
    <col min="4352" max="4353" width="16.140625" style="52" customWidth="1"/>
    <col min="4354" max="4600" width="9.140625" style="52"/>
    <col min="4601" max="4601" width="0.42578125" style="52" customWidth="1"/>
    <col min="4602" max="4602" width="9.28515625" style="52" bestFit="1" customWidth="1"/>
    <col min="4603" max="4604" width="9.140625" style="52"/>
    <col min="4605" max="4605" width="5.42578125" style="52" customWidth="1"/>
    <col min="4606" max="4606" width="10.7109375" style="52" customWidth="1"/>
    <col min="4607" max="4607" width="15.140625" style="52" bestFit="1" customWidth="1"/>
    <col min="4608" max="4609" width="16.140625" style="52" customWidth="1"/>
    <col min="4610" max="4856" width="9.140625" style="52"/>
    <col min="4857" max="4857" width="0.42578125" style="52" customWidth="1"/>
    <col min="4858" max="4858" width="9.28515625" style="52" bestFit="1" customWidth="1"/>
    <col min="4859" max="4860" width="9.140625" style="52"/>
    <col min="4861" max="4861" width="5.42578125" style="52" customWidth="1"/>
    <col min="4862" max="4862" width="10.7109375" style="52" customWidth="1"/>
    <col min="4863" max="4863" width="15.140625" style="52" bestFit="1" customWidth="1"/>
    <col min="4864" max="4865" width="16.140625" style="52" customWidth="1"/>
    <col min="4866" max="5112" width="9.140625" style="52"/>
    <col min="5113" max="5113" width="0.42578125" style="52" customWidth="1"/>
    <col min="5114" max="5114" width="9.28515625" style="52" bestFit="1" customWidth="1"/>
    <col min="5115" max="5116" width="9.140625" style="52"/>
    <col min="5117" max="5117" width="5.42578125" style="52" customWidth="1"/>
    <col min="5118" max="5118" width="10.7109375" style="52" customWidth="1"/>
    <col min="5119" max="5119" width="15.140625" style="52" bestFit="1" customWidth="1"/>
    <col min="5120" max="5121" width="16.140625" style="52" customWidth="1"/>
    <col min="5122" max="5368" width="9.140625" style="52"/>
    <col min="5369" max="5369" width="0.42578125" style="52" customWidth="1"/>
    <col min="5370" max="5370" width="9.28515625" style="52" bestFit="1" customWidth="1"/>
    <col min="5371" max="5372" width="9.140625" style="52"/>
    <col min="5373" max="5373" width="5.42578125" style="52" customWidth="1"/>
    <col min="5374" max="5374" width="10.7109375" style="52" customWidth="1"/>
    <col min="5375" max="5375" width="15.140625" style="52" bestFit="1" customWidth="1"/>
    <col min="5376" max="5377" width="16.140625" style="52" customWidth="1"/>
    <col min="5378" max="5624" width="9.140625" style="52"/>
    <col min="5625" max="5625" width="0.42578125" style="52" customWidth="1"/>
    <col min="5626" max="5626" width="9.28515625" style="52" bestFit="1" customWidth="1"/>
    <col min="5627" max="5628" width="9.140625" style="52"/>
    <col min="5629" max="5629" width="5.42578125" style="52" customWidth="1"/>
    <col min="5630" max="5630" width="10.7109375" style="52" customWidth="1"/>
    <col min="5631" max="5631" width="15.140625" style="52" bestFit="1" customWidth="1"/>
    <col min="5632" max="5633" width="16.140625" style="52" customWidth="1"/>
    <col min="5634" max="5880" width="9.140625" style="52"/>
    <col min="5881" max="5881" width="0.42578125" style="52" customWidth="1"/>
    <col min="5882" max="5882" width="9.28515625" style="52" bestFit="1" customWidth="1"/>
    <col min="5883" max="5884" width="9.140625" style="52"/>
    <col min="5885" max="5885" width="5.42578125" style="52" customWidth="1"/>
    <col min="5886" max="5886" width="10.7109375" style="52" customWidth="1"/>
    <col min="5887" max="5887" width="15.140625" style="52" bestFit="1" customWidth="1"/>
    <col min="5888" max="5889" width="16.140625" style="52" customWidth="1"/>
    <col min="5890" max="6136" width="9.140625" style="52"/>
    <col min="6137" max="6137" width="0.42578125" style="52" customWidth="1"/>
    <col min="6138" max="6138" width="9.28515625" style="52" bestFit="1" customWidth="1"/>
    <col min="6139" max="6140" width="9.140625" style="52"/>
    <col min="6141" max="6141" width="5.42578125" style="52" customWidth="1"/>
    <col min="6142" max="6142" width="10.7109375" style="52" customWidth="1"/>
    <col min="6143" max="6143" width="15.140625" style="52" bestFit="1" customWidth="1"/>
    <col min="6144" max="6145" width="16.140625" style="52" customWidth="1"/>
    <col min="6146" max="6392" width="9.140625" style="52"/>
    <col min="6393" max="6393" width="0.42578125" style="52" customWidth="1"/>
    <col min="6394" max="6394" width="9.28515625" style="52" bestFit="1" customWidth="1"/>
    <col min="6395" max="6396" width="9.140625" style="52"/>
    <col min="6397" max="6397" width="5.42578125" style="52" customWidth="1"/>
    <col min="6398" max="6398" width="10.7109375" style="52" customWidth="1"/>
    <col min="6399" max="6399" width="15.140625" style="52" bestFit="1" customWidth="1"/>
    <col min="6400" max="6401" width="16.140625" style="52" customWidth="1"/>
    <col min="6402" max="6648" width="9.140625" style="52"/>
    <col min="6649" max="6649" width="0.42578125" style="52" customWidth="1"/>
    <col min="6650" max="6650" width="9.28515625" style="52" bestFit="1" customWidth="1"/>
    <col min="6651" max="6652" width="9.140625" style="52"/>
    <col min="6653" max="6653" width="5.42578125" style="52" customWidth="1"/>
    <col min="6654" max="6654" width="10.7109375" style="52" customWidth="1"/>
    <col min="6655" max="6655" width="15.140625" style="52" bestFit="1" customWidth="1"/>
    <col min="6656" max="6657" width="16.140625" style="52" customWidth="1"/>
    <col min="6658" max="6904" width="9.140625" style="52"/>
    <col min="6905" max="6905" width="0.42578125" style="52" customWidth="1"/>
    <col min="6906" max="6906" width="9.28515625" style="52" bestFit="1" customWidth="1"/>
    <col min="6907" max="6908" width="9.140625" style="52"/>
    <col min="6909" max="6909" width="5.42578125" style="52" customWidth="1"/>
    <col min="6910" max="6910" width="10.7109375" style="52" customWidth="1"/>
    <col min="6911" max="6911" width="15.140625" style="52" bestFit="1" customWidth="1"/>
    <col min="6912" max="6913" width="16.140625" style="52" customWidth="1"/>
    <col min="6914" max="7160" width="9.140625" style="52"/>
    <col min="7161" max="7161" width="0.42578125" style="52" customWidth="1"/>
    <col min="7162" max="7162" width="9.28515625" style="52" bestFit="1" customWidth="1"/>
    <col min="7163" max="7164" width="9.140625" style="52"/>
    <col min="7165" max="7165" width="5.42578125" style="52" customWidth="1"/>
    <col min="7166" max="7166" width="10.7109375" style="52" customWidth="1"/>
    <col min="7167" max="7167" width="15.140625" style="52" bestFit="1" customWidth="1"/>
    <col min="7168" max="7169" width="16.140625" style="52" customWidth="1"/>
    <col min="7170" max="7416" width="9.140625" style="52"/>
    <col min="7417" max="7417" width="0.42578125" style="52" customWidth="1"/>
    <col min="7418" max="7418" width="9.28515625" style="52" bestFit="1" customWidth="1"/>
    <col min="7419" max="7420" width="9.140625" style="52"/>
    <col min="7421" max="7421" width="5.42578125" style="52" customWidth="1"/>
    <col min="7422" max="7422" width="10.7109375" style="52" customWidth="1"/>
    <col min="7423" max="7423" width="15.140625" style="52" bestFit="1" customWidth="1"/>
    <col min="7424" max="7425" width="16.140625" style="52" customWidth="1"/>
    <col min="7426" max="7672" width="9.140625" style="52"/>
    <col min="7673" max="7673" width="0.42578125" style="52" customWidth="1"/>
    <col min="7674" max="7674" width="9.28515625" style="52" bestFit="1" customWidth="1"/>
    <col min="7675" max="7676" width="9.140625" style="52"/>
    <col min="7677" max="7677" width="5.42578125" style="52" customWidth="1"/>
    <col min="7678" max="7678" width="10.7109375" style="52" customWidth="1"/>
    <col min="7679" max="7679" width="15.140625" style="52" bestFit="1" customWidth="1"/>
    <col min="7680" max="7681" width="16.140625" style="52" customWidth="1"/>
    <col min="7682" max="7928" width="9.140625" style="52"/>
    <col min="7929" max="7929" width="0.42578125" style="52" customWidth="1"/>
    <col min="7930" max="7930" width="9.28515625" style="52" bestFit="1" customWidth="1"/>
    <col min="7931" max="7932" width="9.140625" style="52"/>
    <col min="7933" max="7933" width="5.42578125" style="52" customWidth="1"/>
    <col min="7934" max="7934" width="10.7109375" style="52" customWidth="1"/>
    <col min="7935" max="7935" width="15.140625" style="52" bestFit="1" customWidth="1"/>
    <col min="7936" max="7937" width="16.140625" style="52" customWidth="1"/>
    <col min="7938" max="8184" width="9.140625" style="52"/>
    <col min="8185" max="8185" width="0.42578125" style="52" customWidth="1"/>
    <col min="8186" max="8186" width="9.28515625" style="52" bestFit="1" customWidth="1"/>
    <col min="8187" max="8188" width="9.140625" style="52"/>
    <col min="8189" max="8189" width="5.42578125" style="52" customWidth="1"/>
    <col min="8190" max="8190" width="10.7109375" style="52" customWidth="1"/>
    <col min="8191" max="8191" width="15.140625" style="52" bestFit="1" customWidth="1"/>
    <col min="8192" max="8193" width="16.140625" style="52" customWidth="1"/>
    <col min="8194" max="8440" width="9.140625" style="52"/>
    <col min="8441" max="8441" width="0.42578125" style="52" customWidth="1"/>
    <col min="8442" max="8442" width="9.28515625" style="52" bestFit="1" customWidth="1"/>
    <col min="8443" max="8444" width="9.140625" style="52"/>
    <col min="8445" max="8445" width="5.42578125" style="52" customWidth="1"/>
    <col min="8446" max="8446" width="10.7109375" style="52" customWidth="1"/>
    <col min="8447" max="8447" width="15.140625" style="52" bestFit="1" customWidth="1"/>
    <col min="8448" max="8449" width="16.140625" style="52" customWidth="1"/>
    <col min="8450" max="8696" width="9.140625" style="52"/>
    <col min="8697" max="8697" width="0.42578125" style="52" customWidth="1"/>
    <col min="8698" max="8698" width="9.28515625" style="52" bestFit="1" customWidth="1"/>
    <col min="8699" max="8700" width="9.140625" style="52"/>
    <col min="8701" max="8701" width="5.42578125" style="52" customWidth="1"/>
    <col min="8702" max="8702" width="10.7109375" style="52" customWidth="1"/>
    <col min="8703" max="8703" width="15.140625" style="52" bestFit="1" customWidth="1"/>
    <col min="8704" max="8705" width="16.140625" style="52" customWidth="1"/>
    <col min="8706" max="8952" width="9.140625" style="52"/>
    <col min="8953" max="8953" width="0.42578125" style="52" customWidth="1"/>
    <col min="8954" max="8954" width="9.28515625" style="52" bestFit="1" customWidth="1"/>
    <col min="8955" max="8956" width="9.140625" style="52"/>
    <col min="8957" max="8957" width="5.42578125" style="52" customWidth="1"/>
    <col min="8958" max="8958" width="10.7109375" style="52" customWidth="1"/>
    <col min="8959" max="8959" width="15.140625" style="52" bestFit="1" customWidth="1"/>
    <col min="8960" max="8961" width="16.140625" style="52" customWidth="1"/>
    <col min="8962" max="9208" width="9.140625" style="52"/>
    <col min="9209" max="9209" width="0.42578125" style="52" customWidth="1"/>
    <col min="9210" max="9210" width="9.28515625" style="52" bestFit="1" customWidth="1"/>
    <col min="9211" max="9212" width="9.140625" style="52"/>
    <col min="9213" max="9213" width="5.42578125" style="52" customWidth="1"/>
    <col min="9214" max="9214" width="10.7109375" style="52" customWidth="1"/>
    <col min="9215" max="9215" width="15.140625" style="52" bestFit="1" customWidth="1"/>
    <col min="9216" max="9217" width="16.140625" style="52" customWidth="1"/>
    <col min="9218" max="9464" width="9.140625" style="52"/>
    <col min="9465" max="9465" width="0.42578125" style="52" customWidth="1"/>
    <col min="9466" max="9466" width="9.28515625" style="52" bestFit="1" customWidth="1"/>
    <col min="9467" max="9468" width="9.140625" style="52"/>
    <col min="9469" max="9469" width="5.42578125" style="52" customWidth="1"/>
    <col min="9470" max="9470" width="10.7109375" style="52" customWidth="1"/>
    <col min="9471" max="9471" width="15.140625" style="52" bestFit="1" customWidth="1"/>
    <col min="9472" max="9473" width="16.140625" style="52" customWidth="1"/>
    <col min="9474" max="9720" width="9.140625" style="52"/>
    <col min="9721" max="9721" width="0.42578125" style="52" customWidth="1"/>
    <col min="9722" max="9722" width="9.28515625" style="52" bestFit="1" customWidth="1"/>
    <col min="9723" max="9724" width="9.140625" style="52"/>
    <col min="9725" max="9725" width="5.42578125" style="52" customWidth="1"/>
    <col min="9726" max="9726" width="10.7109375" style="52" customWidth="1"/>
    <col min="9727" max="9727" width="15.140625" style="52" bestFit="1" customWidth="1"/>
    <col min="9728" max="9729" width="16.140625" style="52" customWidth="1"/>
    <col min="9730" max="9976" width="9.140625" style="52"/>
    <col min="9977" max="9977" width="0.42578125" style="52" customWidth="1"/>
    <col min="9978" max="9978" width="9.28515625" style="52" bestFit="1" customWidth="1"/>
    <col min="9979" max="9980" width="9.140625" style="52"/>
    <col min="9981" max="9981" width="5.42578125" style="52" customWidth="1"/>
    <col min="9982" max="9982" width="10.7109375" style="52" customWidth="1"/>
    <col min="9983" max="9983" width="15.140625" style="52" bestFit="1" customWidth="1"/>
    <col min="9984" max="9985" width="16.140625" style="52" customWidth="1"/>
    <col min="9986" max="10232" width="9.140625" style="52"/>
    <col min="10233" max="10233" width="0.42578125" style="52" customWidth="1"/>
    <col min="10234" max="10234" width="9.28515625" style="52" bestFit="1" customWidth="1"/>
    <col min="10235" max="10236" width="9.140625" style="52"/>
    <col min="10237" max="10237" width="5.42578125" style="52" customWidth="1"/>
    <col min="10238" max="10238" width="10.7109375" style="52" customWidth="1"/>
    <col min="10239" max="10239" width="15.140625" style="52" bestFit="1" customWidth="1"/>
    <col min="10240" max="10241" width="16.140625" style="52" customWidth="1"/>
    <col min="10242" max="10488" width="9.140625" style="52"/>
    <col min="10489" max="10489" width="0.42578125" style="52" customWidth="1"/>
    <col min="10490" max="10490" width="9.28515625" style="52" bestFit="1" customWidth="1"/>
    <col min="10491" max="10492" width="9.140625" style="52"/>
    <col min="10493" max="10493" width="5.42578125" style="52" customWidth="1"/>
    <col min="10494" max="10494" width="10.7109375" style="52" customWidth="1"/>
    <col min="10495" max="10495" width="15.140625" style="52" bestFit="1" customWidth="1"/>
    <col min="10496" max="10497" width="16.140625" style="52" customWidth="1"/>
    <col min="10498" max="10744" width="9.140625" style="52"/>
    <col min="10745" max="10745" width="0.42578125" style="52" customWidth="1"/>
    <col min="10746" max="10746" width="9.28515625" style="52" bestFit="1" customWidth="1"/>
    <col min="10747" max="10748" width="9.140625" style="52"/>
    <col min="10749" max="10749" width="5.42578125" style="52" customWidth="1"/>
    <col min="10750" max="10750" width="10.7109375" style="52" customWidth="1"/>
    <col min="10751" max="10751" width="15.140625" style="52" bestFit="1" customWidth="1"/>
    <col min="10752" max="10753" width="16.140625" style="52" customWidth="1"/>
    <col min="10754" max="11000" width="9.140625" style="52"/>
    <col min="11001" max="11001" width="0.42578125" style="52" customWidth="1"/>
    <col min="11002" max="11002" width="9.28515625" style="52" bestFit="1" customWidth="1"/>
    <col min="11003" max="11004" width="9.140625" style="52"/>
    <col min="11005" max="11005" width="5.42578125" style="52" customWidth="1"/>
    <col min="11006" max="11006" width="10.7109375" style="52" customWidth="1"/>
    <col min="11007" max="11007" width="15.140625" style="52" bestFit="1" customWidth="1"/>
    <col min="11008" max="11009" width="16.140625" style="52" customWidth="1"/>
    <col min="11010" max="11256" width="9.140625" style="52"/>
    <col min="11257" max="11257" width="0.42578125" style="52" customWidth="1"/>
    <col min="11258" max="11258" width="9.28515625" style="52" bestFit="1" customWidth="1"/>
    <col min="11259" max="11260" width="9.140625" style="52"/>
    <col min="11261" max="11261" width="5.42578125" style="52" customWidth="1"/>
    <col min="11262" max="11262" width="10.7109375" style="52" customWidth="1"/>
    <col min="11263" max="11263" width="15.140625" style="52" bestFit="1" customWidth="1"/>
    <col min="11264" max="11265" width="16.140625" style="52" customWidth="1"/>
    <col min="11266" max="11512" width="9.140625" style="52"/>
    <col min="11513" max="11513" width="0.42578125" style="52" customWidth="1"/>
    <col min="11514" max="11514" width="9.28515625" style="52" bestFit="1" customWidth="1"/>
    <col min="11515" max="11516" width="9.140625" style="52"/>
    <col min="11517" max="11517" width="5.42578125" style="52" customWidth="1"/>
    <col min="11518" max="11518" width="10.7109375" style="52" customWidth="1"/>
    <col min="11519" max="11519" width="15.140625" style="52" bestFit="1" customWidth="1"/>
    <col min="11520" max="11521" width="16.140625" style="52" customWidth="1"/>
    <col min="11522" max="11768" width="9.140625" style="52"/>
    <col min="11769" max="11769" width="0.42578125" style="52" customWidth="1"/>
    <col min="11770" max="11770" width="9.28515625" style="52" bestFit="1" customWidth="1"/>
    <col min="11771" max="11772" width="9.140625" style="52"/>
    <col min="11773" max="11773" width="5.42578125" style="52" customWidth="1"/>
    <col min="11774" max="11774" width="10.7109375" style="52" customWidth="1"/>
    <col min="11775" max="11775" width="15.140625" style="52" bestFit="1" customWidth="1"/>
    <col min="11776" max="11777" width="16.140625" style="52" customWidth="1"/>
    <col min="11778" max="12024" width="9.140625" style="52"/>
    <col min="12025" max="12025" width="0.42578125" style="52" customWidth="1"/>
    <col min="12026" max="12026" width="9.28515625" style="52" bestFit="1" customWidth="1"/>
    <col min="12027" max="12028" width="9.140625" style="52"/>
    <col min="12029" max="12029" width="5.42578125" style="52" customWidth="1"/>
    <col min="12030" max="12030" width="10.7109375" style="52" customWidth="1"/>
    <col min="12031" max="12031" width="15.140625" style="52" bestFit="1" customWidth="1"/>
    <col min="12032" max="12033" width="16.140625" style="52" customWidth="1"/>
    <col min="12034" max="12280" width="9.140625" style="52"/>
    <col min="12281" max="12281" width="0.42578125" style="52" customWidth="1"/>
    <col min="12282" max="12282" width="9.28515625" style="52" bestFit="1" customWidth="1"/>
    <col min="12283" max="12284" width="9.140625" style="52"/>
    <col min="12285" max="12285" width="5.42578125" style="52" customWidth="1"/>
    <col min="12286" max="12286" width="10.7109375" style="52" customWidth="1"/>
    <col min="12287" max="12287" width="15.140625" style="52" bestFit="1" customWidth="1"/>
    <col min="12288" max="12289" width="16.140625" style="52" customWidth="1"/>
    <col min="12290" max="12536" width="9.140625" style="52"/>
    <col min="12537" max="12537" width="0.42578125" style="52" customWidth="1"/>
    <col min="12538" max="12538" width="9.28515625" style="52" bestFit="1" customWidth="1"/>
    <col min="12539" max="12540" width="9.140625" style="52"/>
    <col min="12541" max="12541" width="5.42578125" style="52" customWidth="1"/>
    <col min="12542" max="12542" width="10.7109375" style="52" customWidth="1"/>
    <col min="12543" max="12543" width="15.140625" style="52" bestFit="1" customWidth="1"/>
    <col min="12544" max="12545" width="16.140625" style="52" customWidth="1"/>
    <col min="12546" max="12792" width="9.140625" style="52"/>
    <col min="12793" max="12793" width="0.42578125" style="52" customWidth="1"/>
    <col min="12794" max="12794" width="9.28515625" style="52" bestFit="1" customWidth="1"/>
    <col min="12795" max="12796" width="9.140625" style="52"/>
    <col min="12797" max="12797" width="5.42578125" style="52" customWidth="1"/>
    <col min="12798" max="12798" width="10.7109375" style="52" customWidth="1"/>
    <col min="12799" max="12799" width="15.140625" style="52" bestFit="1" customWidth="1"/>
    <col min="12800" max="12801" width="16.140625" style="52" customWidth="1"/>
    <col min="12802" max="13048" width="9.140625" style="52"/>
    <col min="13049" max="13049" width="0.42578125" style="52" customWidth="1"/>
    <col min="13050" max="13050" width="9.28515625" style="52" bestFit="1" customWidth="1"/>
    <col min="13051" max="13052" width="9.140625" style="52"/>
    <col min="13053" max="13053" width="5.42578125" style="52" customWidth="1"/>
    <col min="13054" max="13054" width="10.7109375" style="52" customWidth="1"/>
    <col min="13055" max="13055" width="15.140625" style="52" bestFit="1" customWidth="1"/>
    <col min="13056" max="13057" width="16.140625" style="52" customWidth="1"/>
    <col min="13058" max="13304" width="9.140625" style="52"/>
    <col min="13305" max="13305" width="0.42578125" style="52" customWidth="1"/>
    <col min="13306" max="13306" width="9.28515625" style="52" bestFit="1" customWidth="1"/>
    <col min="13307" max="13308" width="9.140625" style="52"/>
    <col min="13309" max="13309" width="5.42578125" style="52" customWidth="1"/>
    <col min="13310" max="13310" width="10.7109375" style="52" customWidth="1"/>
    <col min="13311" max="13311" width="15.140625" style="52" bestFit="1" customWidth="1"/>
    <col min="13312" max="13313" width="16.140625" style="52" customWidth="1"/>
    <col min="13314" max="13560" width="9.140625" style="52"/>
    <col min="13561" max="13561" width="0.42578125" style="52" customWidth="1"/>
    <col min="13562" max="13562" width="9.28515625" style="52" bestFit="1" customWidth="1"/>
    <col min="13563" max="13564" width="9.140625" style="52"/>
    <col min="13565" max="13565" width="5.42578125" style="52" customWidth="1"/>
    <col min="13566" max="13566" width="10.7109375" style="52" customWidth="1"/>
    <col min="13567" max="13567" width="15.140625" style="52" bestFit="1" customWidth="1"/>
    <col min="13568" max="13569" width="16.140625" style="52" customWidth="1"/>
    <col min="13570" max="13816" width="9.140625" style="52"/>
    <col min="13817" max="13817" width="0.42578125" style="52" customWidth="1"/>
    <col min="13818" max="13818" width="9.28515625" style="52" bestFit="1" customWidth="1"/>
    <col min="13819" max="13820" width="9.140625" style="52"/>
    <col min="13821" max="13821" width="5.42578125" style="52" customWidth="1"/>
    <col min="13822" max="13822" width="10.7109375" style="52" customWidth="1"/>
    <col min="13823" max="13823" width="15.140625" style="52" bestFit="1" customWidth="1"/>
    <col min="13824" max="13825" width="16.140625" style="52" customWidth="1"/>
    <col min="13826" max="14072" width="9.140625" style="52"/>
    <col min="14073" max="14073" width="0.42578125" style="52" customWidth="1"/>
    <col min="14074" max="14074" width="9.28515625" style="52" bestFit="1" customWidth="1"/>
    <col min="14075" max="14076" width="9.140625" style="52"/>
    <col min="14077" max="14077" width="5.42578125" style="52" customWidth="1"/>
    <col min="14078" max="14078" width="10.7109375" style="52" customWidth="1"/>
    <col min="14079" max="14079" width="15.140625" style="52" bestFit="1" customWidth="1"/>
    <col min="14080" max="14081" width="16.140625" style="52" customWidth="1"/>
    <col min="14082" max="14328" width="9.140625" style="52"/>
    <col min="14329" max="14329" width="0.42578125" style="52" customWidth="1"/>
    <col min="14330" max="14330" width="9.28515625" style="52" bestFit="1" customWidth="1"/>
    <col min="14331" max="14332" width="9.140625" style="52"/>
    <col min="14333" max="14333" width="5.42578125" style="52" customWidth="1"/>
    <col min="14334" max="14334" width="10.7109375" style="52" customWidth="1"/>
    <col min="14335" max="14335" width="15.140625" style="52" bestFit="1" customWidth="1"/>
    <col min="14336" max="14337" width="16.140625" style="52" customWidth="1"/>
    <col min="14338" max="14584" width="9.140625" style="52"/>
    <col min="14585" max="14585" width="0.42578125" style="52" customWidth="1"/>
    <col min="14586" max="14586" width="9.28515625" style="52" bestFit="1" customWidth="1"/>
    <col min="14587" max="14588" width="9.140625" style="52"/>
    <col min="14589" max="14589" width="5.42578125" style="52" customWidth="1"/>
    <col min="14590" max="14590" width="10.7109375" style="52" customWidth="1"/>
    <col min="14591" max="14591" width="15.140625" style="52" bestFit="1" customWidth="1"/>
    <col min="14592" max="14593" width="16.140625" style="52" customWidth="1"/>
    <col min="14594" max="14840" width="9.140625" style="52"/>
    <col min="14841" max="14841" width="0.42578125" style="52" customWidth="1"/>
    <col min="14842" max="14842" width="9.28515625" style="52" bestFit="1" customWidth="1"/>
    <col min="14843" max="14844" width="9.140625" style="52"/>
    <col min="14845" max="14845" width="5.42578125" style="52" customWidth="1"/>
    <col min="14846" max="14846" width="10.7109375" style="52" customWidth="1"/>
    <col min="14847" max="14847" width="15.140625" style="52" bestFit="1" customWidth="1"/>
    <col min="14848" max="14849" width="16.140625" style="52" customWidth="1"/>
    <col min="14850" max="15096" width="9.140625" style="52"/>
    <col min="15097" max="15097" width="0.42578125" style="52" customWidth="1"/>
    <col min="15098" max="15098" width="9.28515625" style="52" bestFit="1" customWidth="1"/>
    <col min="15099" max="15100" width="9.140625" style="52"/>
    <col min="15101" max="15101" width="5.42578125" style="52" customWidth="1"/>
    <col min="15102" max="15102" width="10.7109375" style="52" customWidth="1"/>
    <col min="15103" max="15103" width="15.140625" style="52" bestFit="1" customWidth="1"/>
    <col min="15104" max="15105" width="16.140625" style="52" customWidth="1"/>
    <col min="15106" max="15352" width="9.140625" style="52"/>
    <col min="15353" max="15353" width="0.42578125" style="52" customWidth="1"/>
    <col min="15354" max="15354" width="9.28515625" style="52" bestFit="1" customWidth="1"/>
    <col min="15355" max="15356" width="9.140625" style="52"/>
    <col min="15357" max="15357" width="5.42578125" style="52" customWidth="1"/>
    <col min="15358" max="15358" width="10.7109375" style="52" customWidth="1"/>
    <col min="15359" max="15359" width="15.140625" style="52" bestFit="1" customWidth="1"/>
    <col min="15360" max="15361" width="16.140625" style="52" customWidth="1"/>
    <col min="15362" max="15608" width="9.140625" style="52"/>
    <col min="15609" max="15609" width="0.42578125" style="52" customWidth="1"/>
    <col min="15610" max="15610" width="9.28515625" style="52" bestFit="1" customWidth="1"/>
    <col min="15611" max="15612" width="9.140625" style="52"/>
    <col min="15613" max="15613" width="5.42578125" style="52" customWidth="1"/>
    <col min="15614" max="15614" width="10.7109375" style="52" customWidth="1"/>
    <col min="15615" max="15615" width="15.140625" style="52" bestFit="1" customWidth="1"/>
    <col min="15616" max="15617" width="16.140625" style="52" customWidth="1"/>
    <col min="15618" max="15864" width="9.140625" style="52"/>
    <col min="15865" max="15865" width="0.42578125" style="52" customWidth="1"/>
    <col min="15866" max="15866" width="9.28515625" style="52" bestFit="1" customWidth="1"/>
    <col min="15867" max="15868" width="9.140625" style="52"/>
    <col min="15869" max="15869" width="5.42578125" style="52" customWidth="1"/>
    <col min="15870" max="15870" width="10.7109375" style="52" customWidth="1"/>
    <col min="15871" max="15871" width="15.140625" style="52" bestFit="1" customWidth="1"/>
    <col min="15872" max="15873" width="16.140625" style="52" customWidth="1"/>
    <col min="15874" max="16120" width="9.140625" style="52"/>
    <col min="16121" max="16121" width="0.42578125" style="52" customWidth="1"/>
    <col min="16122" max="16122" width="9.28515625" style="52" bestFit="1" customWidth="1"/>
    <col min="16123" max="16124" width="9.140625" style="52"/>
    <col min="16125" max="16125" width="5.42578125" style="52" customWidth="1"/>
    <col min="16126" max="16126" width="10.7109375" style="52" customWidth="1"/>
    <col min="16127" max="16127" width="15.140625" style="52" bestFit="1" customWidth="1"/>
    <col min="16128" max="16129" width="16.140625" style="52" customWidth="1"/>
    <col min="16130" max="16384" width="9.140625" style="52"/>
  </cols>
  <sheetData>
    <row r="1" spans="1:11">
      <c r="G1" s="315" t="s">
        <v>111</v>
      </c>
      <c r="H1" s="316"/>
      <c r="I1" s="316"/>
    </row>
    <row r="2" spans="1:11">
      <c r="G2" s="315"/>
      <c r="H2" s="315"/>
      <c r="I2" s="315"/>
    </row>
    <row r="3" spans="1:11">
      <c r="A3" s="322" t="s">
        <v>112</v>
      </c>
      <c r="B3" s="322"/>
      <c r="C3" s="322"/>
      <c r="D3" s="322"/>
      <c r="E3" s="322"/>
      <c r="F3" s="322"/>
      <c r="G3" s="322"/>
      <c r="H3" s="322"/>
      <c r="I3" s="322"/>
      <c r="J3" s="169"/>
    </row>
    <row r="4" spans="1:11">
      <c r="A4" s="322" t="s">
        <v>113</v>
      </c>
      <c r="B4" s="322"/>
      <c r="C4" s="322"/>
      <c r="D4" s="322"/>
      <c r="E4" s="322"/>
      <c r="F4" s="322"/>
      <c r="G4" s="322"/>
      <c r="H4" s="322"/>
      <c r="I4" s="322"/>
      <c r="J4" s="169"/>
    </row>
    <row r="5" spans="1:11">
      <c r="A5" s="323" t="s">
        <v>160</v>
      </c>
      <c r="B5" s="323"/>
      <c r="C5" s="323"/>
      <c r="D5" s="323"/>
      <c r="E5" s="323"/>
      <c r="F5" s="323"/>
      <c r="G5" s="323"/>
      <c r="H5" s="323"/>
      <c r="I5" s="323"/>
      <c r="J5" s="170"/>
    </row>
    <row r="6" spans="1:11">
      <c r="A6" s="323" t="s">
        <v>437</v>
      </c>
      <c r="B6" s="323"/>
      <c r="C6" s="323"/>
      <c r="D6" s="323"/>
      <c r="E6" s="323"/>
      <c r="F6" s="323"/>
      <c r="G6" s="323"/>
      <c r="H6" s="323"/>
      <c r="I6" s="323"/>
      <c r="J6" s="49"/>
    </row>
    <row r="7" spans="1:11" ht="49.5" customHeight="1">
      <c r="A7" s="50"/>
      <c r="B7" s="72"/>
      <c r="C7" s="325" t="s">
        <v>161</v>
      </c>
      <c r="D7" s="325"/>
      <c r="E7" s="325"/>
      <c r="F7" s="325"/>
      <c r="G7" s="325"/>
      <c r="H7" s="325"/>
      <c r="I7" s="325"/>
      <c r="J7" s="50"/>
    </row>
    <row r="8" spans="1:11">
      <c r="A8" s="50"/>
      <c r="B8" s="72"/>
      <c r="C8" s="171"/>
      <c r="D8" s="171"/>
      <c r="E8" s="171"/>
      <c r="F8" s="171"/>
      <c r="G8" s="171"/>
      <c r="H8" s="171"/>
      <c r="I8" s="171"/>
      <c r="J8" s="50"/>
    </row>
    <row r="9" spans="1:11">
      <c r="B9" s="73" t="s">
        <v>114</v>
      </c>
      <c r="C9" s="74"/>
      <c r="D9" s="73"/>
      <c r="E9" s="73"/>
      <c r="F9" s="73"/>
      <c r="G9" s="73"/>
      <c r="I9" s="75"/>
      <c r="J9" s="51"/>
    </row>
    <row r="10" spans="1:11">
      <c r="B10" s="324" t="s">
        <v>115</v>
      </c>
      <c r="C10" s="324"/>
      <c r="D10" s="324"/>
      <c r="E10" s="324"/>
      <c r="F10" s="324"/>
      <c r="G10" s="324"/>
      <c r="H10" s="324"/>
      <c r="I10" s="324"/>
    </row>
    <row r="11" spans="1:11" ht="63">
      <c r="B11" s="309" t="s">
        <v>116</v>
      </c>
      <c r="C11" s="310"/>
      <c r="D11" s="310"/>
      <c r="E11" s="311"/>
      <c r="F11" s="161" t="s">
        <v>117</v>
      </c>
      <c r="G11" s="164" t="s">
        <v>118</v>
      </c>
      <c r="H11" s="163" t="s">
        <v>119</v>
      </c>
      <c r="I11" s="183" t="s">
        <v>120</v>
      </c>
    </row>
    <row r="12" spans="1:11">
      <c r="B12" s="317">
        <v>1</v>
      </c>
      <c r="C12" s="318"/>
      <c r="D12" s="318"/>
      <c r="E12" s="319"/>
      <c r="F12" s="320">
        <v>2</v>
      </c>
      <c r="G12" s="321"/>
      <c r="H12" s="78">
        <v>3</v>
      </c>
      <c r="I12" s="184">
        <v>4</v>
      </c>
    </row>
    <row r="13" spans="1:11">
      <c r="B13" s="326">
        <v>1057625.1000000001</v>
      </c>
      <c r="C13" s="327"/>
      <c r="D13" s="327"/>
      <c r="E13" s="328"/>
      <c r="F13" s="185">
        <v>54910</v>
      </c>
      <c r="G13" s="186">
        <f>B13*12</f>
        <v>12691501.200000001</v>
      </c>
      <c r="H13" s="137">
        <f>G13*30.2%</f>
        <v>3832833.3624000004</v>
      </c>
      <c r="I13" s="79">
        <f>G13+H13</f>
        <v>16524334.562400002</v>
      </c>
      <c r="K13" s="111"/>
    </row>
    <row r="14" spans="1:11">
      <c r="B14" s="80"/>
      <c r="C14" s="80"/>
      <c r="D14" s="80"/>
      <c r="E14" s="80"/>
      <c r="F14" s="81"/>
      <c r="G14" s="82"/>
      <c r="H14" s="83"/>
      <c r="I14" s="84"/>
    </row>
    <row r="15" spans="1:11">
      <c r="B15" s="329" t="s">
        <v>121</v>
      </c>
      <c r="C15" s="329"/>
      <c r="D15" s="329"/>
      <c r="E15" s="329"/>
      <c r="F15" s="329"/>
      <c r="G15" s="329"/>
      <c r="H15" s="329"/>
      <c r="I15" s="329"/>
    </row>
    <row r="16" spans="1:11">
      <c r="B16" s="78" t="s">
        <v>122</v>
      </c>
      <c r="C16" s="320" t="s">
        <v>123</v>
      </c>
      <c r="D16" s="335"/>
      <c r="E16" s="335"/>
      <c r="F16" s="321"/>
      <c r="G16" s="138" t="s">
        <v>124</v>
      </c>
      <c r="H16" s="78" t="s">
        <v>125</v>
      </c>
      <c r="I16" s="78" t="s">
        <v>126</v>
      </c>
    </row>
    <row r="17" spans="2:12">
      <c r="B17" s="78">
        <v>1</v>
      </c>
      <c r="C17" s="336" t="s">
        <v>181</v>
      </c>
      <c r="D17" s="336"/>
      <c r="E17" s="336"/>
      <c r="F17" s="336"/>
      <c r="G17" s="78">
        <v>50</v>
      </c>
      <c r="H17" s="179">
        <v>2000</v>
      </c>
      <c r="I17" s="137">
        <f>G17*H17</f>
        <v>100000</v>
      </c>
    </row>
    <row r="18" spans="2:12">
      <c r="B18" s="78">
        <v>2</v>
      </c>
      <c r="C18" s="336" t="s">
        <v>434</v>
      </c>
      <c r="D18" s="336"/>
      <c r="E18" s="336"/>
      <c r="F18" s="336"/>
      <c r="G18" s="78">
        <v>25</v>
      </c>
      <c r="H18" s="179">
        <v>3000</v>
      </c>
      <c r="I18" s="137">
        <f t="shared" ref="I18:I19" si="0">G18*H18</f>
        <v>75000</v>
      </c>
    </row>
    <row r="19" spans="2:12">
      <c r="B19" s="78">
        <v>3</v>
      </c>
      <c r="C19" s="337" t="s">
        <v>435</v>
      </c>
      <c r="D19" s="338"/>
      <c r="E19" s="338"/>
      <c r="F19" s="339"/>
      <c r="G19" s="78">
        <v>35</v>
      </c>
      <c r="H19" s="179">
        <v>500</v>
      </c>
      <c r="I19" s="137">
        <f t="shared" si="0"/>
        <v>17500</v>
      </c>
    </row>
    <row r="20" spans="2:12">
      <c r="B20" s="340" t="s">
        <v>127</v>
      </c>
      <c r="C20" s="341"/>
      <c r="D20" s="341"/>
      <c r="E20" s="341"/>
      <c r="F20" s="341"/>
      <c r="G20" s="341"/>
      <c r="H20" s="342"/>
      <c r="I20" s="79">
        <f>SUM(I17:I19)</f>
        <v>192500</v>
      </c>
      <c r="J20" s="53"/>
    </row>
    <row r="21" spans="2:12">
      <c r="B21" s="85"/>
      <c r="C21" s="86"/>
      <c r="D21" s="86"/>
      <c r="E21" s="86"/>
      <c r="F21" s="86"/>
      <c r="G21" s="86"/>
      <c r="H21" s="86"/>
      <c r="I21" s="87"/>
      <c r="J21" s="53"/>
    </row>
    <row r="23" spans="2:12">
      <c r="B23" s="73" t="s">
        <v>131</v>
      </c>
      <c r="C23" s="76"/>
      <c r="D23" s="139"/>
      <c r="E23" s="139"/>
      <c r="F23" s="139"/>
      <c r="G23" s="88"/>
      <c r="I23" s="89"/>
    </row>
    <row r="24" spans="2:12">
      <c r="B24" s="78" t="s">
        <v>122</v>
      </c>
      <c r="C24" s="312" t="s">
        <v>129</v>
      </c>
      <c r="D24" s="313"/>
      <c r="E24" s="314"/>
      <c r="F24" s="140" t="s">
        <v>132</v>
      </c>
      <c r="G24" s="141" t="s">
        <v>133</v>
      </c>
      <c r="H24" s="176" t="s">
        <v>134</v>
      </c>
      <c r="I24" s="142" t="s">
        <v>126</v>
      </c>
      <c r="K24" s="52"/>
      <c r="L24" s="58"/>
    </row>
    <row r="25" spans="2:12">
      <c r="B25" s="78">
        <v>1</v>
      </c>
      <c r="C25" s="343" t="s">
        <v>135</v>
      </c>
      <c r="D25" s="344"/>
      <c r="E25" s="345"/>
      <c r="F25" s="78" t="s">
        <v>136</v>
      </c>
      <c r="G25" s="78">
        <v>298</v>
      </c>
      <c r="H25" s="78">
        <v>18660</v>
      </c>
      <c r="I25" s="137">
        <f>G25*H25</f>
        <v>5560680</v>
      </c>
      <c r="J25" s="90"/>
      <c r="K25" s="55"/>
      <c r="L25" s="80"/>
    </row>
    <row r="26" spans="2:12">
      <c r="B26" s="78">
        <v>2</v>
      </c>
      <c r="C26" s="343" t="s">
        <v>168</v>
      </c>
      <c r="D26" s="344"/>
      <c r="E26" s="345"/>
      <c r="F26" s="78" t="s">
        <v>137</v>
      </c>
      <c r="G26" s="179">
        <v>37794</v>
      </c>
      <c r="H26" s="78">
        <v>51.375999999999998</v>
      </c>
      <c r="I26" s="137">
        <f>G26*H26</f>
        <v>1941704.544</v>
      </c>
      <c r="J26" s="97"/>
      <c r="K26" s="52"/>
      <c r="L26" s="113"/>
    </row>
    <row r="27" spans="2:12" s="129" customFormat="1">
      <c r="B27" s="143" t="s">
        <v>140</v>
      </c>
      <c r="C27" s="144"/>
      <c r="D27" s="144"/>
      <c r="E27" s="144"/>
      <c r="F27" s="144"/>
      <c r="G27" s="144"/>
      <c r="H27" s="145"/>
      <c r="I27" s="79">
        <f>SUM(I25:I26)</f>
        <v>7502384.5439999998</v>
      </c>
      <c r="L27" s="128"/>
    </row>
    <row r="28" spans="2:12">
      <c r="B28" s="91"/>
      <c r="C28" s="91"/>
      <c r="D28" s="91"/>
      <c r="E28" s="91"/>
      <c r="F28" s="91"/>
      <c r="G28" s="91"/>
      <c r="H28" s="91"/>
      <c r="I28" s="92"/>
      <c r="K28" s="52"/>
      <c r="L28" s="88"/>
    </row>
    <row r="29" spans="2:12">
      <c r="B29" s="173" t="s">
        <v>316</v>
      </c>
      <c r="C29" s="173"/>
      <c r="D29" s="173"/>
      <c r="E29" s="85"/>
      <c r="F29" s="85"/>
      <c r="G29" s="84"/>
      <c r="H29" s="84"/>
      <c r="I29" s="85"/>
    </row>
    <row r="30" spans="2:12" ht="45.75" customHeight="1">
      <c r="B30" s="176" t="s">
        <v>122</v>
      </c>
      <c r="C30" s="330" t="s">
        <v>79</v>
      </c>
      <c r="D30" s="330"/>
      <c r="E30" s="331" t="s">
        <v>292</v>
      </c>
      <c r="F30" s="331"/>
      <c r="G30" s="331"/>
      <c r="H30" s="68" t="s">
        <v>146</v>
      </c>
      <c r="I30" s="84"/>
      <c r="J30" s="85"/>
      <c r="K30" s="52"/>
      <c r="L30" s="88"/>
    </row>
    <row r="31" spans="2:12" ht="87" customHeight="1">
      <c r="B31" s="176">
        <v>1</v>
      </c>
      <c r="C31" s="332" t="s">
        <v>347</v>
      </c>
      <c r="D31" s="332"/>
      <c r="E31" s="362" t="s">
        <v>351</v>
      </c>
      <c r="F31" s="362"/>
      <c r="G31" s="362"/>
      <c r="H31" s="68">
        <f>17*12500*2</f>
        <v>425000</v>
      </c>
      <c r="I31" s="84"/>
      <c r="J31" s="85"/>
      <c r="K31" s="52"/>
      <c r="L31" s="88"/>
    </row>
    <row r="32" spans="2:12" ht="45.75" customHeight="1">
      <c r="B32" s="176">
        <v>2</v>
      </c>
      <c r="C32" s="332" t="s">
        <v>281</v>
      </c>
      <c r="D32" s="332"/>
      <c r="E32" s="362" t="s">
        <v>352</v>
      </c>
      <c r="F32" s="362"/>
      <c r="G32" s="362"/>
      <c r="H32" s="68">
        <f>(12500+2000)*24*2</f>
        <v>696000</v>
      </c>
      <c r="I32" s="84"/>
      <c r="J32" s="85"/>
      <c r="K32" s="52"/>
      <c r="L32" s="88"/>
    </row>
    <row r="33" spans="2:12" ht="45.75" customHeight="1">
      <c r="B33" s="176">
        <v>3</v>
      </c>
      <c r="C33" s="332" t="s">
        <v>282</v>
      </c>
      <c r="D33" s="332"/>
      <c r="E33" s="362" t="s">
        <v>353</v>
      </c>
      <c r="F33" s="362"/>
      <c r="G33" s="362"/>
      <c r="H33" s="68">
        <f>24*12500*2</f>
        <v>600000</v>
      </c>
      <c r="I33" s="84"/>
      <c r="J33" s="85"/>
      <c r="K33" s="52"/>
      <c r="L33" s="88"/>
    </row>
    <row r="34" spans="2:12" ht="45.75" customHeight="1">
      <c r="B34" s="176">
        <v>4</v>
      </c>
      <c r="C34" s="358" t="s">
        <v>348</v>
      </c>
      <c r="D34" s="361"/>
      <c r="E34" s="333" t="s">
        <v>354</v>
      </c>
      <c r="F34" s="303"/>
      <c r="G34" s="334"/>
      <c r="H34" s="68">
        <f>(12500+1500)*12*2</f>
        <v>336000</v>
      </c>
      <c r="I34" s="84"/>
      <c r="J34" s="85"/>
      <c r="K34" s="52"/>
      <c r="L34" s="88"/>
    </row>
    <row r="35" spans="2:12" ht="45.75" customHeight="1">
      <c r="B35" s="176">
        <v>5</v>
      </c>
      <c r="C35" s="358" t="s">
        <v>349</v>
      </c>
      <c r="D35" s="361"/>
      <c r="E35" s="333" t="s">
        <v>355</v>
      </c>
      <c r="F35" s="303"/>
      <c r="G35" s="334"/>
      <c r="H35" s="68">
        <f>14*3674.29*2-0.12</f>
        <v>102880</v>
      </c>
      <c r="I35" s="84"/>
      <c r="J35" s="85"/>
      <c r="K35" s="52"/>
      <c r="L35" s="88"/>
    </row>
    <row r="36" spans="2:12" ht="45.75" customHeight="1">
      <c r="B36" s="176">
        <v>6</v>
      </c>
      <c r="C36" s="358" t="s">
        <v>350</v>
      </c>
      <c r="D36" s="361"/>
      <c r="E36" s="333" t="s">
        <v>356</v>
      </c>
      <c r="F36" s="303"/>
      <c r="G36" s="334"/>
      <c r="H36" s="68">
        <f>(22*9100*2)+(4*13000*2)</f>
        <v>504400</v>
      </c>
      <c r="I36" s="84"/>
      <c r="J36" s="85"/>
      <c r="K36" s="52"/>
      <c r="L36" s="88"/>
    </row>
    <row r="37" spans="2:12" ht="62.25" customHeight="1">
      <c r="B37" s="176">
        <v>7</v>
      </c>
      <c r="C37" s="332" t="s">
        <v>293</v>
      </c>
      <c r="D37" s="332"/>
      <c r="E37" s="333" t="s">
        <v>357</v>
      </c>
      <c r="F37" s="303"/>
      <c r="G37" s="334"/>
      <c r="H37" s="68">
        <f>(8370+13500)*12*2</f>
        <v>524880</v>
      </c>
      <c r="I37" s="84"/>
      <c r="J37" s="83"/>
      <c r="K37" s="52"/>
      <c r="L37" s="111"/>
    </row>
    <row r="38" spans="2:12">
      <c r="B38" s="348" t="s">
        <v>140</v>
      </c>
      <c r="C38" s="349"/>
      <c r="D38" s="349"/>
      <c r="E38" s="349"/>
      <c r="F38" s="349"/>
      <c r="G38" s="350"/>
      <c r="H38" s="93">
        <f>H31+H32+H33+H37+H34+H35+H36</f>
        <v>3189160</v>
      </c>
      <c r="I38" s="84"/>
      <c r="J38" s="85"/>
      <c r="K38" s="97"/>
      <c r="L38" s="88"/>
    </row>
    <row r="39" spans="2:12">
      <c r="B39" s="173"/>
      <c r="C39" s="173"/>
      <c r="D39" s="173"/>
      <c r="E39" s="85"/>
      <c r="F39" s="85"/>
      <c r="G39" s="84"/>
      <c r="H39" s="84"/>
      <c r="I39" s="85"/>
    </row>
    <row r="40" spans="2:12">
      <c r="B40" s="73" t="s">
        <v>326</v>
      </c>
      <c r="C40" s="73"/>
      <c r="D40" s="73"/>
      <c r="E40" s="73"/>
      <c r="F40" s="73"/>
      <c r="G40" s="73"/>
      <c r="H40" s="94"/>
    </row>
    <row r="41" spans="2:12">
      <c r="B41" s="69" t="s">
        <v>122</v>
      </c>
      <c r="C41" s="346" t="s">
        <v>147</v>
      </c>
      <c r="D41" s="347"/>
      <c r="E41" s="346" t="s">
        <v>148</v>
      </c>
      <c r="F41" s="354"/>
      <c r="G41" s="347"/>
      <c r="H41" s="69" t="s">
        <v>126</v>
      </c>
      <c r="I41" s="94"/>
      <c r="K41" s="52"/>
      <c r="L41" s="88"/>
    </row>
    <row r="42" spans="2:12" ht="51" customHeight="1">
      <c r="B42" s="176">
        <v>1</v>
      </c>
      <c r="C42" s="331" t="s">
        <v>324</v>
      </c>
      <c r="D42" s="331"/>
      <c r="E42" s="309" t="s">
        <v>325</v>
      </c>
      <c r="F42" s="310"/>
      <c r="G42" s="311"/>
      <c r="H42" s="68">
        <v>29000</v>
      </c>
      <c r="J42" s="88"/>
      <c r="K42" s="52"/>
    </row>
    <row r="43" spans="2:12" s="129" customFormat="1">
      <c r="B43" s="348" t="s">
        <v>140</v>
      </c>
      <c r="C43" s="349"/>
      <c r="D43" s="349"/>
      <c r="E43" s="349"/>
      <c r="F43" s="349"/>
      <c r="G43" s="350"/>
      <c r="H43" s="93">
        <f>SUM(H42)</f>
        <v>29000</v>
      </c>
      <c r="I43" s="84"/>
      <c r="J43" s="130"/>
      <c r="L43" s="128"/>
    </row>
    <row r="44" spans="2:12">
      <c r="B44" s="173"/>
      <c r="C44" s="173"/>
      <c r="D44" s="173"/>
      <c r="E44" s="173"/>
      <c r="F44" s="173"/>
      <c r="G44" s="84"/>
      <c r="H44" s="84"/>
      <c r="I44" s="85"/>
    </row>
    <row r="45" spans="2:12">
      <c r="B45" s="95" t="s">
        <v>317</v>
      </c>
      <c r="C45" s="85"/>
      <c r="D45" s="85"/>
      <c r="E45" s="85"/>
      <c r="F45" s="96"/>
      <c r="G45" s="96"/>
      <c r="H45" s="96"/>
    </row>
    <row r="46" spans="2:12">
      <c r="B46" s="95" t="s">
        <v>318</v>
      </c>
      <c r="C46" s="96"/>
      <c r="D46" s="96"/>
      <c r="E46" s="96"/>
      <c r="F46" s="85"/>
      <c r="G46" s="85"/>
      <c r="H46" s="85"/>
    </row>
    <row r="47" spans="2:12">
      <c r="B47" s="78" t="s">
        <v>122</v>
      </c>
      <c r="C47" s="346" t="s">
        <v>147</v>
      </c>
      <c r="D47" s="347"/>
      <c r="E47" s="346" t="s">
        <v>148</v>
      </c>
      <c r="F47" s="354"/>
      <c r="G47" s="347"/>
      <c r="H47" s="346" t="s">
        <v>130</v>
      </c>
      <c r="I47" s="347"/>
      <c r="K47" s="52"/>
      <c r="L47" s="88"/>
    </row>
    <row r="48" spans="2:12" ht="39" customHeight="1">
      <c r="B48" s="176">
        <v>1</v>
      </c>
      <c r="C48" s="358" t="s">
        <v>332</v>
      </c>
      <c r="D48" s="359"/>
      <c r="E48" s="358" t="s">
        <v>166</v>
      </c>
      <c r="F48" s="360"/>
      <c r="G48" s="361"/>
      <c r="H48" s="301">
        <v>168000</v>
      </c>
      <c r="I48" s="302"/>
      <c r="K48" s="52"/>
      <c r="L48" s="88"/>
    </row>
    <row r="49" spans="2:12" ht="39" customHeight="1">
      <c r="B49" s="176">
        <v>2</v>
      </c>
      <c r="C49" s="140" t="s">
        <v>375</v>
      </c>
      <c r="D49" s="140"/>
      <c r="E49" s="312" t="s">
        <v>167</v>
      </c>
      <c r="F49" s="313"/>
      <c r="G49" s="314"/>
      <c r="H49" s="301">
        <v>60000</v>
      </c>
      <c r="I49" s="302"/>
      <c r="K49" s="52"/>
      <c r="L49" s="88"/>
    </row>
    <row r="50" spans="2:12" s="129" customFormat="1">
      <c r="B50" s="348" t="s">
        <v>140</v>
      </c>
      <c r="C50" s="349"/>
      <c r="D50" s="349"/>
      <c r="E50" s="349"/>
      <c r="F50" s="349"/>
      <c r="G50" s="350"/>
      <c r="H50" s="146">
        <f>SUM(H48:I48)+H49</f>
        <v>228000</v>
      </c>
      <c r="I50" s="147"/>
      <c r="L50" s="128"/>
    </row>
    <row r="51" spans="2:12">
      <c r="E51" s="97"/>
      <c r="G51" s="88"/>
      <c r="K51" s="52"/>
    </row>
    <row r="52" spans="2:12">
      <c r="B52" s="73" t="s">
        <v>319</v>
      </c>
      <c r="C52" s="76"/>
      <c r="D52" s="76"/>
      <c r="E52" s="76"/>
      <c r="H52" s="98"/>
      <c r="K52" s="112"/>
    </row>
    <row r="53" spans="2:12">
      <c r="B53" s="73" t="s">
        <v>322</v>
      </c>
      <c r="C53" s="76"/>
      <c r="D53" s="76"/>
      <c r="E53" s="76"/>
      <c r="H53" s="98"/>
      <c r="K53" s="112"/>
    </row>
    <row r="54" spans="2:12" ht="37.5" customHeight="1">
      <c r="B54" s="176" t="s">
        <v>122</v>
      </c>
      <c r="C54" s="309" t="s">
        <v>79</v>
      </c>
      <c r="D54" s="310"/>
      <c r="E54" s="310"/>
      <c r="F54" s="311"/>
      <c r="G54" s="162" t="s">
        <v>152</v>
      </c>
      <c r="H54" s="164" t="s">
        <v>283</v>
      </c>
      <c r="I54" s="135" t="s">
        <v>284</v>
      </c>
      <c r="J54" s="172" t="s">
        <v>155</v>
      </c>
      <c r="K54" s="52"/>
      <c r="L54" s="112"/>
    </row>
    <row r="55" spans="2:12" ht="50.25" customHeight="1">
      <c r="B55" s="176">
        <v>1</v>
      </c>
      <c r="C55" s="355" t="s">
        <v>347</v>
      </c>
      <c r="D55" s="356"/>
      <c r="E55" s="356"/>
      <c r="F55" s="357"/>
      <c r="G55" s="187">
        <v>7</v>
      </c>
      <c r="H55" s="188">
        <v>18</v>
      </c>
      <c r="I55" s="188">
        <v>350</v>
      </c>
      <c r="J55" s="189">
        <v>52100</v>
      </c>
      <c r="K55" s="52"/>
      <c r="L55" s="112"/>
    </row>
    <row r="56" spans="2:12" ht="42" customHeight="1">
      <c r="B56" s="176">
        <v>2</v>
      </c>
      <c r="C56" s="306" t="s">
        <v>281</v>
      </c>
      <c r="D56" s="307"/>
      <c r="E56" s="307"/>
      <c r="F56" s="308"/>
      <c r="G56" s="187">
        <v>7</v>
      </c>
      <c r="H56" s="188">
        <v>24</v>
      </c>
      <c r="I56" s="188">
        <v>350</v>
      </c>
      <c r="J56" s="189">
        <v>66800</v>
      </c>
      <c r="K56" s="52"/>
      <c r="L56" s="112"/>
    </row>
    <row r="57" spans="2:12" ht="40.5" customHeight="1">
      <c r="B57" s="176">
        <v>3</v>
      </c>
      <c r="C57" s="306" t="s">
        <v>365</v>
      </c>
      <c r="D57" s="307"/>
      <c r="E57" s="307"/>
      <c r="F57" s="308"/>
      <c r="G57" s="187">
        <v>7</v>
      </c>
      <c r="H57" s="188">
        <v>24</v>
      </c>
      <c r="I57" s="188">
        <v>350</v>
      </c>
      <c r="J57" s="189">
        <v>39850</v>
      </c>
      <c r="K57" s="52"/>
      <c r="L57" s="112"/>
    </row>
    <row r="58" spans="2:12" ht="35.25" customHeight="1">
      <c r="B58" s="176">
        <v>4</v>
      </c>
      <c r="C58" s="306" t="s">
        <v>348</v>
      </c>
      <c r="D58" s="307"/>
      <c r="E58" s="307"/>
      <c r="F58" s="308"/>
      <c r="G58" s="187">
        <v>7</v>
      </c>
      <c r="H58" s="188">
        <v>15</v>
      </c>
      <c r="I58" s="188">
        <v>350</v>
      </c>
      <c r="J58" s="189">
        <v>44750</v>
      </c>
      <c r="K58" s="52"/>
      <c r="L58" s="112"/>
    </row>
    <row r="59" spans="2:12" ht="35.25" customHeight="1">
      <c r="B59" s="176">
        <v>5</v>
      </c>
      <c r="C59" s="306" t="s">
        <v>282</v>
      </c>
      <c r="D59" s="307"/>
      <c r="E59" s="307"/>
      <c r="F59" s="308"/>
      <c r="G59" s="187">
        <v>2</v>
      </c>
      <c r="H59" s="188">
        <v>15</v>
      </c>
      <c r="I59" s="188">
        <v>350</v>
      </c>
      <c r="J59" s="189">
        <f t="shared" ref="J59:J62" si="1">G59*H59*I59</f>
        <v>10500</v>
      </c>
      <c r="K59" s="52"/>
      <c r="L59" s="112"/>
    </row>
    <row r="60" spans="2:12" ht="35.25" customHeight="1">
      <c r="B60" s="176">
        <v>6</v>
      </c>
      <c r="C60" s="306" t="s">
        <v>366</v>
      </c>
      <c r="D60" s="307"/>
      <c r="E60" s="307"/>
      <c r="F60" s="308"/>
      <c r="G60" s="187">
        <v>7</v>
      </c>
      <c r="H60" s="188">
        <v>13</v>
      </c>
      <c r="I60" s="188">
        <v>350</v>
      </c>
      <c r="J60" s="189">
        <f t="shared" si="1"/>
        <v>31850</v>
      </c>
      <c r="K60" s="52"/>
      <c r="L60" s="112"/>
    </row>
    <row r="61" spans="2:12" ht="41.25" customHeight="1">
      <c r="B61" s="176">
        <v>7</v>
      </c>
      <c r="C61" s="306" t="s">
        <v>367</v>
      </c>
      <c r="D61" s="307"/>
      <c r="E61" s="307"/>
      <c r="F61" s="308"/>
      <c r="G61" s="190">
        <v>7</v>
      </c>
      <c r="H61" s="190">
        <v>11</v>
      </c>
      <c r="I61" s="190">
        <v>350</v>
      </c>
      <c r="J61" s="189">
        <f t="shared" si="1"/>
        <v>26950</v>
      </c>
      <c r="K61" s="52"/>
      <c r="L61" s="112"/>
    </row>
    <row r="62" spans="2:12" ht="41.25" customHeight="1">
      <c r="B62" s="165">
        <v>8</v>
      </c>
      <c r="C62" s="306" t="s">
        <v>368</v>
      </c>
      <c r="D62" s="307"/>
      <c r="E62" s="307"/>
      <c r="F62" s="308"/>
      <c r="G62" s="190">
        <v>7</v>
      </c>
      <c r="H62" s="190">
        <v>11</v>
      </c>
      <c r="I62" s="190">
        <v>350</v>
      </c>
      <c r="J62" s="189">
        <f t="shared" si="1"/>
        <v>26950</v>
      </c>
      <c r="K62" s="52"/>
      <c r="L62" s="112"/>
    </row>
    <row r="63" spans="2:12" s="129" customFormat="1">
      <c r="B63" s="351" t="s">
        <v>140</v>
      </c>
      <c r="C63" s="352"/>
      <c r="D63" s="352"/>
      <c r="E63" s="352"/>
      <c r="F63" s="352"/>
      <c r="G63" s="352"/>
      <c r="H63" s="352"/>
      <c r="I63" s="353"/>
      <c r="J63" s="79">
        <f>SUM(J55:J62)</f>
        <v>299750</v>
      </c>
      <c r="L63" s="131"/>
    </row>
    <row r="64" spans="2:12">
      <c r="B64" s="303" t="s">
        <v>323</v>
      </c>
      <c r="C64" s="303"/>
      <c r="D64" s="303"/>
      <c r="E64" s="303"/>
      <c r="F64" s="73"/>
      <c r="G64" s="73"/>
      <c r="H64" s="94"/>
    </row>
    <row r="65" spans="2:13" ht="31.5">
      <c r="B65" s="176" t="s">
        <v>122</v>
      </c>
      <c r="C65" s="309" t="s">
        <v>79</v>
      </c>
      <c r="D65" s="310"/>
      <c r="E65" s="310"/>
      <c r="F65" s="311"/>
      <c r="G65" s="162" t="s">
        <v>152</v>
      </c>
      <c r="H65" s="164" t="s">
        <v>283</v>
      </c>
      <c r="I65" s="135" t="s">
        <v>284</v>
      </c>
      <c r="J65" s="172" t="s">
        <v>155</v>
      </c>
      <c r="K65" s="52"/>
      <c r="L65" s="88"/>
    </row>
    <row r="66" spans="2:13" ht="35.25" customHeight="1">
      <c r="B66" s="176">
        <v>1</v>
      </c>
      <c r="C66" s="306" t="s">
        <v>405</v>
      </c>
      <c r="D66" s="307"/>
      <c r="E66" s="307"/>
      <c r="F66" s="308"/>
      <c r="G66" s="187">
        <v>6</v>
      </c>
      <c r="H66" s="188">
        <v>18</v>
      </c>
      <c r="I66" s="191">
        <v>2500</v>
      </c>
      <c r="J66" s="189">
        <f>G66*H66*I66</f>
        <v>270000</v>
      </c>
      <c r="K66" s="52"/>
      <c r="L66" s="88"/>
    </row>
    <row r="67" spans="2:13" ht="35.25" customHeight="1">
      <c r="B67" s="176">
        <v>2</v>
      </c>
      <c r="C67" s="306" t="s">
        <v>406</v>
      </c>
      <c r="D67" s="307"/>
      <c r="E67" s="307"/>
      <c r="F67" s="308"/>
      <c r="G67" s="187">
        <v>6</v>
      </c>
      <c r="H67" s="188">
        <v>24</v>
      </c>
      <c r="I67" s="191">
        <v>2300</v>
      </c>
      <c r="J67" s="189">
        <f t="shared" ref="J67:J72" si="2">G67*H67*I67</f>
        <v>331200</v>
      </c>
      <c r="K67" s="52"/>
      <c r="L67" s="88"/>
    </row>
    <row r="68" spans="2:13" ht="42" customHeight="1">
      <c r="B68" s="176">
        <v>3</v>
      </c>
      <c r="C68" s="306" t="s">
        <v>365</v>
      </c>
      <c r="D68" s="307"/>
      <c r="E68" s="307"/>
      <c r="F68" s="308"/>
      <c r="G68" s="187">
        <v>6</v>
      </c>
      <c r="H68" s="188">
        <v>15</v>
      </c>
      <c r="I68" s="191">
        <v>2250</v>
      </c>
      <c r="J68" s="189">
        <f>G68*H68*I68-880</f>
        <v>201620</v>
      </c>
      <c r="K68" s="52"/>
      <c r="L68" s="88"/>
    </row>
    <row r="69" spans="2:13" ht="42" customHeight="1">
      <c r="B69" s="176">
        <v>4</v>
      </c>
      <c r="C69" s="306" t="s">
        <v>282</v>
      </c>
      <c r="D69" s="307"/>
      <c r="E69" s="307"/>
      <c r="F69" s="308"/>
      <c r="G69" s="187">
        <v>6</v>
      </c>
      <c r="H69" s="188">
        <v>15</v>
      </c>
      <c r="I69" s="191">
        <v>550</v>
      </c>
      <c r="J69" s="189">
        <f t="shared" si="2"/>
        <v>49500</v>
      </c>
      <c r="K69" s="52"/>
      <c r="L69" s="88"/>
    </row>
    <row r="70" spans="2:13" ht="42" customHeight="1">
      <c r="B70" s="176">
        <v>5</v>
      </c>
      <c r="C70" s="306" t="s">
        <v>366</v>
      </c>
      <c r="D70" s="307"/>
      <c r="E70" s="307"/>
      <c r="F70" s="308"/>
      <c r="G70" s="187">
        <v>6</v>
      </c>
      <c r="H70" s="188">
        <v>13</v>
      </c>
      <c r="I70" s="191">
        <v>250</v>
      </c>
      <c r="J70" s="189">
        <f t="shared" si="2"/>
        <v>19500</v>
      </c>
      <c r="K70" s="97"/>
      <c r="L70" s="111"/>
    </row>
    <row r="71" spans="2:13" ht="46.5" customHeight="1">
      <c r="B71" s="176">
        <v>6</v>
      </c>
      <c r="C71" s="306" t="s">
        <v>367</v>
      </c>
      <c r="D71" s="307"/>
      <c r="E71" s="307"/>
      <c r="F71" s="308"/>
      <c r="G71" s="192">
        <v>6</v>
      </c>
      <c r="H71" s="190">
        <v>11</v>
      </c>
      <c r="I71" s="191">
        <v>250</v>
      </c>
      <c r="J71" s="189">
        <f t="shared" si="2"/>
        <v>16500</v>
      </c>
      <c r="K71" s="52"/>
      <c r="L71" s="88"/>
    </row>
    <row r="72" spans="2:13" ht="46.5" customHeight="1">
      <c r="B72" s="176">
        <v>7</v>
      </c>
      <c r="C72" s="304" t="s">
        <v>368</v>
      </c>
      <c r="D72" s="305"/>
      <c r="E72" s="305"/>
      <c r="F72" s="305"/>
      <c r="G72" s="192">
        <v>6</v>
      </c>
      <c r="H72" s="190">
        <v>11</v>
      </c>
      <c r="I72" s="191">
        <v>250</v>
      </c>
      <c r="J72" s="189">
        <f t="shared" si="2"/>
        <v>16500</v>
      </c>
      <c r="K72" s="52"/>
      <c r="L72" s="88"/>
    </row>
    <row r="73" spans="2:13" s="129" customFormat="1">
      <c r="B73" s="351" t="s">
        <v>140</v>
      </c>
      <c r="C73" s="352"/>
      <c r="D73" s="352"/>
      <c r="E73" s="352"/>
      <c r="F73" s="352"/>
      <c r="G73" s="352"/>
      <c r="H73" s="352"/>
      <c r="I73" s="353"/>
      <c r="J73" s="93">
        <f>SUM(J66:J72)</f>
        <v>904820</v>
      </c>
      <c r="K73" s="126"/>
      <c r="L73" s="128"/>
      <c r="M73" s="126"/>
    </row>
    <row r="74" spans="2:13">
      <c r="B74" s="99"/>
      <c r="C74" s="99"/>
      <c r="D74" s="99"/>
      <c r="E74" s="99"/>
      <c r="F74" s="73"/>
      <c r="G74" s="73"/>
      <c r="H74" s="94"/>
    </row>
    <row r="75" spans="2:13" ht="18.75" customHeight="1">
      <c r="B75" s="329" t="s">
        <v>328</v>
      </c>
      <c r="C75" s="329"/>
      <c r="D75" s="329"/>
      <c r="E75" s="329"/>
      <c r="F75" s="329"/>
      <c r="G75" s="329"/>
      <c r="H75" s="329"/>
      <c r="I75" s="159"/>
      <c r="J75" s="100">
        <f>I13+I20+I27+H38+H50+J63+J73+H43</f>
        <v>28869949.106400002</v>
      </c>
      <c r="K75" s="100"/>
      <c r="L75" s="97"/>
      <c r="M75" s="111"/>
    </row>
    <row r="76" spans="2:13" ht="15" customHeight="1">
      <c r="B76" s="54"/>
      <c r="C76" s="54"/>
      <c r="D76" s="54"/>
      <c r="E76" s="54"/>
      <c r="F76" s="55"/>
      <c r="G76" s="56"/>
      <c r="H76" s="57"/>
    </row>
    <row r="77" spans="2:13" ht="15" customHeight="1">
      <c r="B77" s="54"/>
      <c r="C77" s="54"/>
      <c r="D77" s="54"/>
      <c r="E77" s="54"/>
      <c r="F77" s="55"/>
      <c r="G77" s="56"/>
      <c r="H77" s="57"/>
      <c r="K77" s="111"/>
    </row>
  </sheetData>
  <mergeCells count="73">
    <mergeCell ref="E33:G33"/>
    <mergeCell ref="H47:I47"/>
    <mergeCell ref="E31:G31"/>
    <mergeCell ref="E32:G32"/>
    <mergeCell ref="C58:F58"/>
    <mergeCell ref="C47:D47"/>
    <mergeCell ref="E47:G47"/>
    <mergeCell ref="C56:F56"/>
    <mergeCell ref="C57:F57"/>
    <mergeCell ref="C33:D33"/>
    <mergeCell ref="C34:D34"/>
    <mergeCell ref="C35:D35"/>
    <mergeCell ref="C36:D36"/>
    <mergeCell ref="E34:G34"/>
    <mergeCell ref="E35:G35"/>
    <mergeCell ref="E36:G36"/>
    <mergeCell ref="B75:H75"/>
    <mergeCell ref="C41:D41"/>
    <mergeCell ref="B38:G38"/>
    <mergeCell ref="B50:G50"/>
    <mergeCell ref="B63:I63"/>
    <mergeCell ref="B73:I73"/>
    <mergeCell ref="E41:G41"/>
    <mergeCell ref="E42:G42"/>
    <mergeCell ref="B43:G43"/>
    <mergeCell ref="C42:D42"/>
    <mergeCell ref="C55:F55"/>
    <mergeCell ref="H48:I48"/>
    <mergeCell ref="C65:F65"/>
    <mergeCell ref="C61:F61"/>
    <mergeCell ref="C48:D48"/>
    <mergeCell ref="E48:G48"/>
    <mergeCell ref="B13:E13"/>
    <mergeCell ref="B15:I15"/>
    <mergeCell ref="C30:D30"/>
    <mergeCell ref="E30:G30"/>
    <mergeCell ref="C37:D37"/>
    <mergeCell ref="E37:G37"/>
    <mergeCell ref="C16:F16"/>
    <mergeCell ref="C17:F17"/>
    <mergeCell ref="C18:F18"/>
    <mergeCell ref="C19:F19"/>
    <mergeCell ref="B20:H20"/>
    <mergeCell ref="C24:E24"/>
    <mergeCell ref="C25:E25"/>
    <mergeCell ref="C26:E26"/>
    <mergeCell ref="C31:D31"/>
    <mergeCell ref="C32:D32"/>
    <mergeCell ref="G1:I1"/>
    <mergeCell ref="G2:I2"/>
    <mergeCell ref="B11:E11"/>
    <mergeCell ref="B12:E12"/>
    <mergeCell ref="F12:G12"/>
    <mergeCell ref="A3:I3"/>
    <mergeCell ref="A4:I4"/>
    <mergeCell ref="A5:I5"/>
    <mergeCell ref="A6:I6"/>
    <mergeCell ref="B10:I10"/>
    <mergeCell ref="C7:I7"/>
    <mergeCell ref="H49:I49"/>
    <mergeCell ref="B64:E64"/>
    <mergeCell ref="C72:F72"/>
    <mergeCell ref="C70:F70"/>
    <mergeCell ref="C69:F69"/>
    <mergeCell ref="C66:F66"/>
    <mergeCell ref="C67:F67"/>
    <mergeCell ref="C71:F71"/>
    <mergeCell ref="C68:F68"/>
    <mergeCell ref="C54:F54"/>
    <mergeCell ref="C59:F59"/>
    <mergeCell ref="C60:F60"/>
    <mergeCell ref="C62:F62"/>
    <mergeCell ref="E49:G4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91"/>
  <sheetViews>
    <sheetView zoomScale="80" zoomScaleNormal="80" workbookViewId="0">
      <selection activeCell="O19" sqref="O19"/>
    </sheetView>
  </sheetViews>
  <sheetFormatPr defaultRowHeight="15.75"/>
  <cols>
    <col min="1" max="1" width="6.7109375" style="52" customWidth="1"/>
    <col min="2" max="2" width="9.28515625" style="52" bestFit="1" customWidth="1"/>
    <col min="3" max="3" width="12.140625" style="52" customWidth="1"/>
    <col min="4" max="4" width="34.7109375" style="52" customWidth="1"/>
    <col min="5" max="5" width="14.28515625" style="52" customWidth="1"/>
    <col min="6" max="6" width="18.140625" style="52" customWidth="1"/>
    <col min="7" max="7" width="16.42578125" style="52" bestFit="1" customWidth="1"/>
    <col min="8" max="8" width="16.140625" style="52" customWidth="1"/>
    <col min="9" max="9" width="17.42578125" style="52" customWidth="1"/>
    <col min="10" max="10" width="17.28515625" style="58" bestFit="1" customWidth="1"/>
    <col min="11" max="11" width="15.42578125" style="88" bestFit="1" customWidth="1"/>
    <col min="12" max="12" width="15.5703125" style="52" bestFit="1" customWidth="1"/>
    <col min="13" max="13" width="9.140625" style="52"/>
    <col min="14" max="14" width="14.85546875" style="52" bestFit="1" customWidth="1"/>
    <col min="15" max="15" width="14.28515625" style="52" bestFit="1" customWidth="1"/>
    <col min="16" max="256" width="9.140625" style="52"/>
    <col min="257" max="257" width="0.42578125" style="52" customWidth="1"/>
    <col min="258" max="258" width="9.28515625" style="52" bestFit="1" customWidth="1"/>
    <col min="259" max="260" width="9.140625" style="52"/>
    <col min="261" max="261" width="5.42578125" style="52" customWidth="1"/>
    <col min="262" max="262" width="10.7109375" style="52" customWidth="1"/>
    <col min="263" max="263" width="15.140625" style="52" bestFit="1" customWidth="1"/>
    <col min="264" max="265" width="16.140625" style="52" customWidth="1"/>
    <col min="266" max="512" width="9.140625" style="52"/>
    <col min="513" max="513" width="0.42578125" style="52" customWidth="1"/>
    <col min="514" max="514" width="9.28515625" style="52" bestFit="1" customWidth="1"/>
    <col min="515" max="516" width="9.140625" style="52"/>
    <col min="517" max="517" width="5.42578125" style="52" customWidth="1"/>
    <col min="518" max="518" width="10.7109375" style="52" customWidth="1"/>
    <col min="519" max="519" width="15.140625" style="52" bestFit="1" customWidth="1"/>
    <col min="520" max="521" width="16.140625" style="52" customWidth="1"/>
    <col min="522" max="768" width="9.140625" style="52"/>
    <col min="769" max="769" width="0.42578125" style="52" customWidth="1"/>
    <col min="770" max="770" width="9.28515625" style="52" bestFit="1" customWidth="1"/>
    <col min="771" max="772" width="9.140625" style="52"/>
    <col min="773" max="773" width="5.42578125" style="52" customWidth="1"/>
    <col min="774" max="774" width="10.7109375" style="52" customWidth="1"/>
    <col min="775" max="775" width="15.140625" style="52" bestFit="1" customWidth="1"/>
    <col min="776" max="777" width="16.140625" style="52" customWidth="1"/>
    <col min="778" max="1024" width="9.140625" style="52"/>
    <col min="1025" max="1025" width="0.42578125" style="52" customWidth="1"/>
    <col min="1026" max="1026" width="9.28515625" style="52" bestFit="1" customWidth="1"/>
    <col min="1027" max="1028" width="9.140625" style="52"/>
    <col min="1029" max="1029" width="5.42578125" style="52" customWidth="1"/>
    <col min="1030" max="1030" width="10.7109375" style="52" customWidth="1"/>
    <col min="1031" max="1031" width="15.140625" style="52" bestFit="1" customWidth="1"/>
    <col min="1032" max="1033" width="16.140625" style="52" customWidth="1"/>
    <col min="1034" max="1280" width="9.140625" style="52"/>
    <col min="1281" max="1281" width="0.42578125" style="52" customWidth="1"/>
    <col min="1282" max="1282" width="9.28515625" style="52" bestFit="1" customWidth="1"/>
    <col min="1283" max="1284" width="9.140625" style="52"/>
    <col min="1285" max="1285" width="5.42578125" style="52" customWidth="1"/>
    <col min="1286" max="1286" width="10.7109375" style="52" customWidth="1"/>
    <col min="1287" max="1287" width="15.140625" style="52" bestFit="1" customWidth="1"/>
    <col min="1288" max="1289" width="16.140625" style="52" customWidth="1"/>
    <col min="1290" max="1536" width="9.140625" style="52"/>
    <col min="1537" max="1537" width="0.42578125" style="52" customWidth="1"/>
    <col min="1538" max="1538" width="9.28515625" style="52" bestFit="1" customWidth="1"/>
    <col min="1539" max="1540" width="9.140625" style="52"/>
    <col min="1541" max="1541" width="5.42578125" style="52" customWidth="1"/>
    <col min="1542" max="1542" width="10.7109375" style="52" customWidth="1"/>
    <col min="1543" max="1543" width="15.140625" style="52" bestFit="1" customWidth="1"/>
    <col min="1544" max="1545" width="16.140625" style="52" customWidth="1"/>
    <col min="1546" max="1792" width="9.140625" style="52"/>
    <col min="1793" max="1793" width="0.42578125" style="52" customWidth="1"/>
    <col min="1794" max="1794" width="9.28515625" style="52" bestFit="1" customWidth="1"/>
    <col min="1795" max="1796" width="9.140625" style="52"/>
    <col min="1797" max="1797" width="5.42578125" style="52" customWidth="1"/>
    <col min="1798" max="1798" width="10.7109375" style="52" customWidth="1"/>
    <col min="1799" max="1799" width="15.140625" style="52" bestFit="1" customWidth="1"/>
    <col min="1800" max="1801" width="16.140625" style="52" customWidth="1"/>
    <col min="1802" max="2048" width="9.140625" style="52"/>
    <col min="2049" max="2049" width="0.42578125" style="52" customWidth="1"/>
    <col min="2050" max="2050" width="9.28515625" style="52" bestFit="1" customWidth="1"/>
    <col min="2051" max="2052" width="9.140625" style="52"/>
    <col min="2053" max="2053" width="5.42578125" style="52" customWidth="1"/>
    <col min="2054" max="2054" width="10.7109375" style="52" customWidth="1"/>
    <col min="2055" max="2055" width="15.140625" style="52" bestFit="1" customWidth="1"/>
    <col min="2056" max="2057" width="16.140625" style="52" customWidth="1"/>
    <col min="2058" max="2304" width="9.140625" style="52"/>
    <col min="2305" max="2305" width="0.42578125" style="52" customWidth="1"/>
    <col min="2306" max="2306" width="9.28515625" style="52" bestFit="1" customWidth="1"/>
    <col min="2307" max="2308" width="9.140625" style="52"/>
    <col min="2309" max="2309" width="5.42578125" style="52" customWidth="1"/>
    <col min="2310" max="2310" width="10.7109375" style="52" customWidth="1"/>
    <col min="2311" max="2311" width="15.140625" style="52" bestFit="1" customWidth="1"/>
    <col min="2312" max="2313" width="16.140625" style="52" customWidth="1"/>
    <col min="2314" max="2560" width="9.140625" style="52"/>
    <col min="2561" max="2561" width="0.42578125" style="52" customWidth="1"/>
    <col min="2562" max="2562" width="9.28515625" style="52" bestFit="1" customWidth="1"/>
    <col min="2563" max="2564" width="9.140625" style="52"/>
    <col min="2565" max="2565" width="5.42578125" style="52" customWidth="1"/>
    <col min="2566" max="2566" width="10.7109375" style="52" customWidth="1"/>
    <col min="2567" max="2567" width="15.140625" style="52" bestFit="1" customWidth="1"/>
    <col min="2568" max="2569" width="16.140625" style="52" customWidth="1"/>
    <col min="2570" max="2816" width="9.140625" style="52"/>
    <col min="2817" max="2817" width="0.42578125" style="52" customWidth="1"/>
    <col min="2818" max="2818" width="9.28515625" style="52" bestFit="1" customWidth="1"/>
    <col min="2819" max="2820" width="9.140625" style="52"/>
    <col min="2821" max="2821" width="5.42578125" style="52" customWidth="1"/>
    <col min="2822" max="2822" width="10.7109375" style="52" customWidth="1"/>
    <col min="2823" max="2823" width="15.140625" style="52" bestFit="1" customWidth="1"/>
    <col min="2824" max="2825" width="16.140625" style="52" customWidth="1"/>
    <col min="2826" max="3072" width="9.140625" style="52"/>
    <col min="3073" max="3073" width="0.42578125" style="52" customWidth="1"/>
    <col min="3074" max="3074" width="9.28515625" style="52" bestFit="1" customWidth="1"/>
    <col min="3075" max="3076" width="9.140625" style="52"/>
    <col min="3077" max="3077" width="5.42578125" style="52" customWidth="1"/>
    <col min="3078" max="3078" width="10.7109375" style="52" customWidth="1"/>
    <col min="3079" max="3079" width="15.140625" style="52" bestFit="1" customWidth="1"/>
    <col min="3080" max="3081" width="16.140625" style="52" customWidth="1"/>
    <col min="3082" max="3328" width="9.140625" style="52"/>
    <col min="3329" max="3329" width="0.42578125" style="52" customWidth="1"/>
    <col min="3330" max="3330" width="9.28515625" style="52" bestFit="1" customWidth="1"/>
    <col min="3331" max="3332" width="9.140625" style="52"/>
    <col min="3333" max="3333" width="5.42578125" style="52" customWidth="1"/>
    <col min="3334" max="3334" width="10.7109375" style="52" customWidth="1"/>
    <col min="3335" max="3335" width="15.140625" style="52" bestFit="1" customWidth="1"/>
    <col min="3336" max="3337" width="16.140625" style="52" customWidth="1"/>
    <col min="3338" max="3584" width="9.140625" style="52"/>
    <col min="3585" max="3585" width="0.42578125" style="52" customWidth="1"/>
    <col min="3586" max="3586" width="9.28515625" style="52" bestFit="1" customWidth="1"/>
    <col min="3587" max="3588" width="9.140625" style="52"/>
    <col min="3589" max="3589" width="5.42578125" style="52" customWidth="1"/>
    <col min="3590" max="3590" width="10.7109375" style="52" customWidth="1"/>
    <col min="3591" max="3591" width="15.140625" style="52" bestFit="1" customWidth="1"/>
    <col min="3592" max="3593" width="16.140625" style="52" customWidth="1"/>
    <col min="3594" max="3840" width="9.140625" style="52"/>
    <col min="3841" max="3841" width="0.42578125" style="52" customWidth="1"/>
    <col min="3842" max="3842" width="9.28515625" style="52" bestFit="1" customWidth="1"/>
    <col min="3843" max="3844" width="9.140625" style="52"/>
    <col min="3845" max="3845" width="5.42578125" style="52" customWidth="1"/>
    <col min="3846" max="3846" width="10.7109375" style="52" customWidth="1"/>
    <col min="3847" max="3847" width="15.140625" style="52" bestFit="1" customWidth="1"/>
    <col min="3848" max="3849" width="16.140625" style="52" customWidth="1"/>
    <col min="3850" max="4096" width="9.140625" style="52"/>
    <col min="4097" max="4097" width="0.42578125" style="52" customWidth="1"/>
    <col min="4098" max="4098" width="9.28515625" style="52" bestFit="1" customWidth="1"/>
    <col min="4099" max="4100" width="9.140625" style="52"/>
    <col min="4101" max="4101" width="5.42578125" style="52" customWidth="1"/>
    <col min="4102" max="4102" width="10.7109375" style="52" customWidth="1"/>
    <col min="4103" max="4103" width="15.140625" style="52" bestFit="1" customWidth="1"/>
    <col min="4104" max="4105" width="16.140625" style="52" customWidth="1"/>
    <col min="4106" max="4352" width="9.140625" style="52"/>
    <col min="4353" max="4353" width="0.42578125" style="52" customWidth="1"/>
    <col min="4354" max="4354" width="9.28515625" style="52" bestFit="1" customWidth="1"/>
    <col min="4355" max="4356" width="9.140625" style="52"/>
    <col min="4357" max="4357" width="5.42578125" style="52" customWidth="1"/>
    <col min="4358" max="4358" width="10.7109375" style="52" customWidth="1"/>
    <col min="4359" max="4359" width="15.140625" style="52" bestFit="1" customWidth="1"/>
    <col min="4360" max="4361" width="16.140625" style="52" customWidth="1"/>
    <col min="4362" max="4608" width="9.140625" style="52"/>
    <col min="4609" max="4609" width="0.42578125" style="52" customWidth="1"/>
    <col min="4610" max="4610" width="9.28515625" style="52" bestFit="1" customWidth="1"/>
    <col min="4611" max="4612" width="9.140625" style="52"/>
    <col min="4613" max="4613" width="5.42578125" style="52" customWidth="1"/>
    <col min="4614" max="4614" width="10.7109375" style="52" customWidth="1"/>
    <col min="4615" max="4615" width="15.140625" style="52" bestFit="1" customWidth="1"/>
    <col min="4616" max="4617" width="16.140625" style="52" customWidth="1"/>
    <col min="4618" max="4864" width="9.140625" style="52"/>
    <col min="4865" max="4865" width="0.42578125" style="52" customWidth="1"/>
    <col min="4866" max="4866" width="9.28515625" style="52" bestFit="1" customWidth="1"/>
    <col min="4867" max="4868" width="9.140625" style="52"/>
    <col min="4869" max="4869" width="5.42578125" style="52" customWidth="1"/>
    <col min="4870" max="4870" width="10.7109375" style="52" customWidth="1"/>
    <col min="4871" max="4871" width="15.140625" style="52" bestFit="1" customWidth="1"/>
    <col min="4872" max="4873" width="16.140625" style="52" customWidth="1"/>
    <col min="4874" max="5120" width="9.140625" style="52"/>
    <col min="5121" max="5121" width="0.42578125" style="52" customWidth="1"/>
    <col min="5122" max="5122" width="9.28515625" style="52" bestFit="1" customWidth="1"/>
    <col min="5123" max="5124" width="9.140625" style="52"/>
    <col min="5125" max="5125" width="5.42578125" style="52" customWidth="1"/>
    <col min="5126" max="5126" width="10.7109375" style="52" customWidth="1"/>
    <col min="5127" max="5127" width="15.140625" style="52" bestFit="1" customWidth="1"/>
    <col min="5128" max="5129" width="16.140625" style="52" customWidth="1"/>
    <col min="5130" max="5376" width="9.140625" style="52"/>
    <col min="5377" max="5377" width="0.42578125" style="52" customWidth="1"/>
    <col min="5378" max="5378" width="9.28515625" style="52" bestFit="1" customWidth="1"/>
    <col min="5379" max="5380" width="9.140625" style="52"/>
    <col min="5381" max="5381" width="5.42578125" style="52" customWidth="1"/>
    <col min="5382" max="5382" width="10.7109375" style="52" customWidth="1"/>
    <col min="5383" max="5383" width="15.140625" style="52" bestFit="1" customWidth="1"/>
    <col min="5384" max="5385" width="16.140625" style="52" customWidth="1"/>
    <col min="5386" max="5632" width="9.140625" style="52"/>
    <col min="5633" max="5633" width="0.42578125" style="52" customWidth="1"/>
    <col min="5634" max="5634" width="9.28515625" style="52" bestFit="1" customWidth="1"/>
    <col min="5635" max="5636" width="9.140625" style="52"/>
    <col min="5637" max="5637" width="5.42578125" style="52" customWidth="1"/>
    <col min="5638" max="5638" width="10.7109375" style="52" customWidth="1"/>
    <col min="5639" max="5639" width="15.140625" style="52" bestFit="1" customWidth="1"/>
    <col min="5640" max="5641" width="16.140625" style="52" customWidth="1"/>
    <col min="5642" max="5888" width="9.140625" style="52"/>
    <col min="5889" max="5889" width="0.42578125" style="52" customWidth="1"/>
    <col min="5890" max="5890" width="9.28515625" style="52" bestFit="1" customWidth="1"/>
    <col min="5891" max="5892" width="9.140625" style="52"/>
    <col min="5893" max="5893" width="5.42578125" style="52" customWidth="1"/>
    <col min="5894" max="5894" width="10.7109375" style="52" customWidth="1"/>
    <col min="5895" max="5895" width="15.140625" style="52" bestFit="1" customWidth="1"/>
    <col min="5896" max="5897" width="16.140625" style="52" customWidth="1"/>
    <col min="5898" max="6144" width="9.140625" style="52"/>
    <col min="6145" max="6145" width="0.42578125" style="52" customWidth="1"/>
    <col min="6146" max="6146" width="9.28515625" style="52" bestFit="1" customWidth="1"/>
    <col min="6147" max="6148" width="9.140625" style="52"/>
    <col min="6149" max="6149" width="5.42578125" style="52" customWidth="1"/>
    <col min="6150" max="6150" width="10.7109375" style="52" customWidth="1"/>
    <col min="6151" max="6151" width="15.140625" style="52" bestFit="1" customWidth="1"/>
    <col min="6152" max="6153" width="16.140625" style="52" customWidth="1"/>
    <col min="6154" max="6400" width="9.140625" style="52"/>
    <col min="6401" max="6401" width="0.42578125" style="52" customWidth="1"/>
    <col min="6402" max="6402" width="9.28515625" style="52" bestFit="1" customWidth="1"/>
    <col min="6403" max="6404" width="9.140625" style="52"/>
    <col min="6405" max="6405" width="5.42578125" style="52" customWidth="1"/>
    <col min="6406" max="6406" width="10.7109375" style="52" customWidth="1"/>
    <col min="6407" max="6407" width="15.140625" style="52" bestFit="1" customWidth="1"/>
    <col min="6408" max="6409" width="16.140625" style="52" customWidth="1"/>
    <col min="6410" max="6656" width="9.140625" style="52"/>
    <col min="6657" max="6657" width="0.42578125" style="52" customWidth="1"/>
    <col min="6658" max="6658" width="9.28515625" style="52" bestFit="1" customWidth="1"/>
    <col min="6659" max="6660" width="9.140625" style="52"/>
    <col min="6661" max="6661" width="5.42578125" style="52" customWidth="1"/>
    <col min="6662" max="6662" width="10.7109375" style="52" customWidth="1"/>
    <col min="6663" max="6663" width="15.140625" style="52" bestFit="1" customWidth="1"/>
    <col min="6664" max="6665" width="16.140625" style="52" customWidth="1"/>
    <col min="6666" max="6912" width="9.140625" style="52"/>
    <col min="6913" max="6913" width="0.42578125" style="52" customWidth="1"/>
    <col min="6914" max="6914" width="9.28515625" style="52" bestFit="1" customWidth="1"/>
    <col min="6915" max="6916" width="9.140625" style="52"/>
    <col min="6917" max="6917" width="5.42578125" style="52" customWidth="1"/>
    <col min="6918" max="6918" width="10.7109375" style="52" customWidth="1"/>
    <col min="6919" max="6919" width="15.140625" style="52" bestFit="1" customWidth="1"/>
    <col min="6920" max="6921" width="16.140625" style="52" customWidth="1"/>
    <col min="6922" max="7168" width="9.140625" style="52"/>
    <col min="7169" max="7169" width="0.42578125" style="52" customWidth="1"/>
    <col min="7170" max="7170" width="9.28515625" style="52" bestFit="1" customWidth="1"/>
    <col min="7171" max="7172" width="9.140625" style="52"/>
    <col min="7173" max="7173" width="5.42578125" style="52" customWidth="1"/>
    <col min="7174" max="7174" width="10.7109375" style="52" customWidth="1"/>
    <col min="7175" max="7175" width="15.140625" style="52" bestFit="1" customWidth="1"/>
    <col min="7176" max="7177" width="16.140625" style="52" customWidth="1"/>
    <col min="7178" max="7424" width="9.140625" style="52"/>
    <col min="7425" max="7425" width="0.42578125" style="52" customWidth="1"/>
    <col min="7426" max="7426" width="9.28515625" style="52" bestFit="1" customWidth="1"/>
    <col min="7427" max="7428" width="9.140625" style="52"/>
    <col min="7429" max="7429" width="5.42578125" style="52" customWidth="1"/>
    <col min="7430" max="7430" width="10.7109375" style="52" customWidth="1"/>
    <col min="7431" max="7431" width="15.140625" style="52" bestFit="1" customWidth="1"/>
    <col min="7432" max="7433" width="16.140625" style="52" customWidth="1"/>
    <col min="7434" max="7680" width="9.140625" style="52"/>
    <col min="7681" max="7681" width="0.42578125" style="52" customWidth="1"/>
    <col min="7682" max="7682" width="9.28515625" style="52" bestFit="1" customWidth="1"/>
    <col min="7683" max="7684" width="9.140625" style="52"/>
    <col min="7685" max="7685" width="5.42578125" style="52" customWidth="1"/>
    <col min="7686" max="7686" width="10.7109375" style="52" customWidth="1"/>
    <col min="7687" max="7687" width="15.140625" style="52" bestFit="1" customWidth="1"/>
    <col min="7688" max="7689" width="16.140625" style="52" customWidth="1"/>
    <col min="7690" max="7936" width="9.140625" style="52"/>
    <col min="7937" max="7937" width="0.42578125" style="52" customWidth="1"/>
    <col min="7938" max="7938" width="9.28515625" style="52" bestFit="1" customWidth="1"/>
    <col min="7939" max="7940" width="9.140625" style="52"/>
    <col min="7941" max="7941" width="5.42578125" style="52" customWidth="1"/>
    <col min="7942" max="7942" width="10.7109375" style="52" customWidth="1"/>
    <col min="7943" max="7943" width="15.140625" style="52" bestFit="1" customWidth="1"/>
    <col min="7944" max="7945" width="16.140625" style="52" customWidth="1"/>
    <col min="7946" max="8192" width="9.140625" style="52"/>
    <col min="8193" max="8193" width="0.42578125" style="52" customWidth="1"/>
    <col min="8194" max="8194" width="9.28515625" style="52" bestFit="1" customWidth="1"/>
    <col min="8195" max="8196" width="9.140625" style="52"/>
    <col min="8197" max="8197" width="5.42578125" style="52" customWidth="1"/>
    <col min="8198" max="8198" width="10.7109375" style="52" customWidth="1"/>
    <col min="8199" max="8199" width="15.140625" style="52" bestFit="1" customWidth="1"/>
    <col min="8200" max="8201" width="16.140625" style="52" customWidth="1"/>
    <col min="8202" max="8448" width="9.140625" style="52"/>
    <col min="8449" max="8449" width="0.42578125" style="52" customWidth="1"/>
    <col min="8450" max="8450" width="9.28515625" style="52" bestFit="1" customWidth="1"/>
    <col min="8451" max="8452" width="9.140625" style="52"/>
    <col min="8453" max="8453" width="5.42578125" style="52" customWidth="1"/>
    <col min="8454" max="8454" width="10.7109375" style="52" customWidth="1"/>
    <col min="8455" max="8455" width="15.140625" style="52" bestFit="1" customWidth="1"/>
    <col min="8456" max="8457" width="16.140625" style="52" customWidth="1"/>
    <col min="8458" max="8704" width="9.140625" style="52"/>
    <col min="8705" max="8705" width="0.42578125" style="52" customWidth="1"/>
    <col min="8706" max="8706" width="9.28515625" style="52" bestFit="1" customWidth="1"/>
    <col min="8707" max="8708" width="9.140625" style="52"/>
    <col min="8709" max="8709" width="5.42578125" style="52" customWidth="1"/>
    <col min="8710" max="8710" width="10.7109375" style="52" customWidth="1"/>
    <col min="8711" max="8711" width="15.140625" style="52" bestFit="1" customWidth="1"/>
    <col min="8712" max="8713" width="16.140625" style="52" customWidth="1"/>
    <col min="8714" max="8960" width="9.140625" style="52"/>
    <col min="8961" max="8961" width="0.42578125" style="52" customWidth="1"/>
    <col min="8962" max="8962" width="9.28515625" style="52" bestFit="1" customWidth="1"/>
    <col min="8963" max="8964" width="9.140625" style="52"/>
    <col min="8965" max="8965" width="5.42578125" style="52" customWidth="1"/>
    <col min="8966" max="8966" width="10.7109375" style="52" customWidth="1"/>
    <col min="8967" max="8967" width="15.140625" style="52" bestFit="1" customWidth="1"/>
    <col min="8968" max="8969" width="16.140625" style="52" customWidth="1"/>
    <col min="8970" max="9216" width="9.140625" style="52"/>
    <col min="9217" max="9217" width="0.42578125" style="52" customWidth="1"/>
    <col min="9218" max="9218" width="9.28515625" style="52" bestFit="1" customWidth="1"/>
    <col min="9219" max="9220" width="9.140625" style="52"/>
    <col min="9221" max="9221" width="5.42578125" style="52" customWidth="1"/>
    <col min="9222" max="9222" width="10.7109375" style="52" customWidth="1"/>
    <col min="9223" max="9223" width="15.140625" style="52" bestFit="1" customWidth="1"/>
    <col min="9224" max="9225" width="16.140625" style="52" customWidth="1"/>
    <col min="9226" max="9472" width="9.140625" style="52"/>
    <col min="9473" max="9473" width="0.42578125" style="52" customWidth="1"/>
    <col min="9474" max="9474" width="9.28515625" style="52" bestFit="1" customWidth="1"/>
    <col min="9475" max="9476" width="9.140625" style="52"/>
    <col min="9477" max="9477" width="5.42578125" style="52" customWidth="1"/>
    <col min="9478" max="9478" width="10.7109375" style="52" customWidth="1"/>
    <col min="9479" max="9479" width="15.140625" style="52" bestFit="1" customWidth="1"/>
    <col min="9480" max="9481" width="16.140625" style="52" customWidth="1"/>
    <col min="9482" max="9728" width="9.140625" style="52"/>
    <col min="9729" max="9729" width="0.42578125" style="52" customWidth="1"/>
    <col min="9730" max="9730" width="9.28515625" style="52" bestFit="1" customWidth="1"/>
    <col min="9731" max="9732" width="9.140625" style="52"/>
    <col min="9733" max="9733" width="5.42578125" style="52" customWidth="1"/>
    <col min="9734" max="9734" width="10.7109375" style="52" customWidth="1"/>
    <col min="9735" max="9735" width="15.140625" style="52" bestFit="1" customWidth="1"/>
    <col min="9736" max="9737" width="16.140625" style="52" customWidth="1"/>
    <col min="9738" max="9984" width="9.140625" style="52"/>
    <col min="9985" max="9985" width="0.42578125" style="52" customWidth="1"/>
    <col min="9986" max="9986" width="9.28515625" style="52" bestFit="1" customWidth="1"/>
    <col min="9987" max="9988" width="9.140625" style="52"/>
    <col min="9989" max="9989" width="5.42578125" style="52" customWidth="1"/>
    <col min="9990" max="9990" width="10.7109375" style="52" customWidth="1"/>
    <col min="9991" max="9991" width="15.140625" style="52" bestFit="1" customWidth="1"/>
    <col min="9992" max="9993" width="16.140625" style="52" customWidth="1"/>
    <col min="9994" max="10240" width="9.140625" style="52"/>
    <col min="10241" max="10241" width="0.42578125" style="52" customWidth="1"/>
    <col min="10242" max="10242" width="9.28515625" style="52" bestFit="1" customWidth="1"/>
    <col min="10243" max="10244" width="9.140625" style="52"/>
    <col min="10245" max="10245" width="5.42578125" style="52" customWidth="1"/>
    <col min="10246" max="10246" width="10.7109375" style="52" customWidth="1"/>
    <col min="10247" max="10247" width="15.140625" style="52" bestFit="1" customWidth="1"/>
    <col min="10248" max="10249" width="16.140625" style="52" customWidth="1"/>
    <col min="10250" max="10496" width="9.140625" style="52"/>
    <col min="10497" max="10497" width="0.42578125" style="52" customWidth="1"/>
    <col min="10498" max="10498" width="9.28515625" style="52" bestFit="1" customWidth="1"/>
    <col min="10499" max="10500" width="9.140625" style="52"/>
    <col min="10501" max="10501" width="5.42578125" style="52" customWidth="1"/>
    <col min="10502" max="10502" width="10.7109375" style="52" customWidth="1"/>
    <col min="10503" max="10503" width="15.140625" style="52" bestFit="1" customWidth="1"/>
    <col min="10504" max="10505" width="16.140625" style="52" customWidth="1"/>
    <col min="10506" max="10752" width="9.140625" style="52"/>
    <col min="10753" max="10753" width="0.42578125" style="52" customWidth="1"/>
    <col min="10754" max="10754" width="9.28515625" style="52" bestFit="1" customWidth="1"/>
    <col min="10755" max="10756" width="9.140625" style="52"/>
    <col min="10757" max="10757" width="5.42578125" style="52" customWidth="1"/>
    <col min="10758" max="10758" width="10.7109375" style="52" customWidth="1"/>
    <col min="10759" max="10759" width="15.140625" style="52" bestFit="1" customWidth="1"/>
    <col min="10760" max="10761" width="16.140625" style="52" customWidth="1"/>
    <col min="10762" max="11008" width="9.140625" style="52"/>
    <col min="11009" max="11009" width="0.42578125" style="52" customWidth="1"/>
    <col min="11010" max="11010" width="9.28515625" style="52" bestFit="1" customWidth="1"/>
    <col min="11011" max="11012" width="9.140625" style="52"/>
    <col min="11013" max="11013" width="5.42578125" style="52" customWidth="1"/>
    <col min="11014" max="11014" width="10.7109375" style="52" customWidth="1"/>
    <col min="11015" max="11015" width="15.140625" style="52" bestFit="1" customWidth="1"/>
    <col min="11016" max="11017" width="16.140625" style="52" customWidth="1"/>
    <col min="11018" max="11264" width="9.140625" style="52"/>
    <col min="11265" max="11265" width="0.42578125" style="52" customWidth="1"/>
    <col min="11266" max="11266" width="9.28515625" style="52" bestFit="1" customWidth="1"/>
    <col min="11267" max="11268" width="9.140625" style="52"/>
    <col min="11269" max="11269" width="5.42578125" style="52" customWidth="1"/>
    <col min="11270" max="11270" width="10.7109375" style="52" customWidth="1"/>
    <col min="11271" max="11271" width="15.140625" style="52" bestFit="1" customWidth="1"/>
    <col min="11272" max="11273" width="16.140625" style="52" customWidth="1"/>
    <col min="11274" max="11520" width="9.140625" style="52"/>
    <col min="11521" max="11521" width="0.42578125" style="52" customWidth="1"/>
    <col min="11522" max="11522" width="9.28515625" style="52" bestFit="1" customWidth="1"/>
    <col min="11523" max="11524" width="9.140625" style="52"/>
    <col min="11525" max="11525" width="5.42578125" style="52" customWidth="1"/>
    <col min="11526" max="11526" width="10.7109375" style="52" customWidth="1"/>
    <col min="11527" max="11527" width="15.140625" style="52" bestFit="1" customWidth="1"/>
    <col min="11528" max="11529" width="16.140625" style="52" customWidth="1"/>
    <col min="11530" max="11776" width="9.140625" style="52"/>
    <col min="11777" max="11777" width="0.42578125" style="52" customWidth="1"/>
    <col min="11778" max="11778" width="9.28515625" style="52" bestFit="1" customWidth="1"/>
    <col min="11779" max="11780" width="9.140625" style="52"/>
    <col min="11781" max="11781" width="5.42578125" style="52" customWidth="1"/>
    <col min="11782" max="11782" width="10.7109375" style="52" customWidth="1"/>
    <col min="11783" max="11783" width="15.140625" style="52" bestFit="1" customWidth="1"/>
    <col min="11784" max="11785" width="16.140625" style="52" customWidth="1"/>
    <col min="11786" max="12032" width="9.140625" style="52"/>
    <col min="12033" max="12033" width="0.42578125" style="52" customWidth="1"/>
    <col min="12034" max="12034" width="9.28515625" style="52" bestFit="1" customWidth="1"/>
    <col min="12035" max="12036" width="9.140625" style="52"/>
    <col min="12037" max="12037" width="5.42578125" style="52" customWidth="1"/>
    <col min="12038" max="12038" width="10.7109375" style="52" customWidth="1"/>
    <col min="12039" max="12039" width="15.140625" style="52" bestFit="1" customWidth="1"/>
    <col min="12040" max="12041" width="16.140625" style="52" customWidth="1"/>
    <col min="12042" max="12288" width="9.140625" style="52"/>
    <col min="12289" max="12289" width="0.42578125" style="52" customWidth="1"/>
    <col min="12290" max="12290" width="9.28515625" style="52" bestFit="1" customWidth="1"/>
    <col min="12291" max="12292" width="9.140625" style="52"/>
    <col min="12293" max="12293" width="5.42578125" style="52" customWidth="1"/>
    <col min="12294" max="12294" width="10.7109375" style="52" customWidth="1"/>
    <col min="12295" max="12295" width="15.140625" style="52" bestFit="1" customWidth="1"/>
    <col min="12296" max="12297" width="16.140625" style="52" customWidth="1"/>
    <col min="12298" max="12544" width="9.140625" style="52"/>
    <col min="12545" max="12545" width="0.42578125" style="52" customWidth="1"/>
    <col min="12546" max="12546" width="9.28515625" style="52" bestFit="1" customWidth="1"/>
    <col min="12547" max="12548" width="9.140625" style="52"/>
    <col min="12549" max="12549" width="5.42578125" style="52" customWidth="1"/>
    <col min="12550" max="12550" width="10.7109375" style="52" customWidth="1"/>
    <col min="12551" max="12551" width="15.140625" style="52" bestFit="1" customWidth="1"/>
    <col min="12552" max="12553" width="16.140625" style="52" customWidth="1"/>
    <col min="12554" max="12800" width="9.140625" style="52"/>
    <col min="12801" max="12801" width="0.42578125" style="52" customWidth="1"/>
    <col min="12802" max="12802" width="9.28515625" style="52" bestFit="1" customWidth="1"/>
    <col min="12803" max="12804" width="9.140625" style="52"/>
    <col min="12805" max="12805" width="5.42578125" style="52" customWidth="1"/>
    <col min="12806" max="12806" width="10.7109375" style="52" customWidth="1"/>
    <col min="12807" max="12807" width="15.140625" style="52" bestFit="1" customWidth="1"/>
    <col min="12808" max="12809" width="16.140625" style="52" customWidth="1"/>
    <col min="12810" max="13056" width="9.140625" style="52"/>
    <col min="13057" max="13057" width="0.42578125" style="52" customWidth="1"/>
    <col min="13058" max="13058" width="9.28515625" style="52" bestFit="1" customWidth="1"/>
    <col min="13059" max="13060" width="9.140625" style="52"/>
    <col min="13061" max="13061" width="5.42578125" style="52" customWidth="1"/>
    <col min="13062" max="13062" width="10.7109375" style="52" customWidth="1"/>
    <col min="13063" max="13063" width="15.140625" style="52" bestFit="1" customWidth="1"/>
    <col min="13064" max="13065" width="16.140625" style="52" customWidth="1"/>
    <col min="13066" max="13312" width="9.140625" style="52"/>
    <col min="13313" max="13313" width="0.42578125" style="52" customWidth="1"/>
    <col min="13314" max="13314" width="9.28515625" style="52" bestFit="1" customWidth="1"/>
    <col min="13315" max="13316" width="9.140625" style="52"/>
    <col min="13317" max="13317" width="5.42578125" style="52" customWidth="1"/>
    <col min="13318" max="13318" width="10.7109375" style="52" customWidth="1"/>
    <col min="13319" max="13319" width="15.140625" style="52" bestFit="1" customWidth="1"/>
    <col min="13320" max="13321" width="16.140625" style="52" customWidth="1"/>
    <col min="13322" max="13568" width="9.140625" style="52"/>
    <col min="13569" max="13569" width="0.42578125" style="52" customWidth="1"/>
    <col min="13570" max="13570" width="9.28515625" style="52" bestFit="1" customWidth="1"/>
    <col min="13571" max="13572" width="9.140625" style="52"/>
    <col min="13573" max="13573" width="5.42578125" style="52" customWidth="1"/>
    <col min="13574" max="13574" width="10.7109375" style="52" customWidth="1"/>
    <col min="13575" max="13575" width="15.140625" style="52" bestFit="1" customWidth="1"/>
    <col min="13576" max="13577" width="16.140625" style="52" customWidth="1"/>
    <col min="13578" max="13824" width="9.140625" style="52"/>
    <col min="13825" max="13825" width="0.42578125" style="52" customWidth="1"/>
    <col min="13826" max="13826" width="9.28515625" style="52" bestFit="1" customWidth="1"/>
    <col min="13827" max="13828" width="9.140625" style="52"/>
    <col min="13829" max="13829" width="5.42578125" style="52" customWidth="1"/>
    <col min="13830" max="13830" width="10.7109375" style="52" customWidth="1"/>
    <col min="13831" max="13831" width="15.140625" style="52" bestFit="1" customWidth="1"/>
    <col min="13832" max="13833" width="16.140625" style="52" customWidth="1"/>
    <col min="13834" max="14080" width="9.140625" style="52"/>
    <col min="14081" max="14081" width="0.42578125" style="52" customWidth="1"/>
    <col min="14082" max="14082" width="9.28515625" style="52" bestFit="1" customWidth="1"/>
    <col min="14083" max="14084" width="9.140625" style="52"/>
    <col min="14085" max="14085" width="5.42578125" style="52" customWidth="1"/>
    <col min="14086" max="14086" width="10.7109375" style="52" customWidth="1"/>
    <col min="14087" max="14087" width="15.140625" style="52" bestFit="1" customWidth="1"/>
    <col min="14088" max="14089" width="16.140625" style="52" customWidth="1"/>
    <col min="14090" max="14336" width="9.140625" style="52"/>
    <col min="14337" max="14337" width="0.42578125" style="52" customWidth="1"/>
    <col min="14338" max="14338" width="9.28515625" style="52" bestFit="1" customWidth="1"/>
    <col min="14339" max="14340" width="9.140625" style="52"/>
    <col min="14341" max="14341" width="5.42578125" style="52" customWidth="1"/>
    <col min="14342" max="14342" width="10.7109375" style="52" customWidth="1"/>
    <col min="14343" max="14343" width="15.140625" style="52" bestFit="1" customWidth="1"/>
    <col min="14344" max="14345" width="16.140625" style="52" customWidth="1"/>
    <col min="14346" max="14592" width="9.140625" style="52"/>
    <col min="14593" max="14593" width="0.42578125" style="52" customWidth="1"/>
    <col min="14594" max="14594" width="9.28515625" style="52" bestFit="1" customWidth="1"/>
    <col min="14595" max="14596" width="9.140625" style="52"/>
    <col min="14597" max="14597" width="5.42578125" style="52" customWidth="1"/>
    <col min="14598" max="14598" width="10.7109375" style="52" customWidth="1"/>
    <col min="14599" max="14599" width="15.140625" style="52" bestFit="1" customWidth="1"/>
    <col min="14600" max="14601" width="16.140625" style="52" customWidth="1"/>
    <col min="14602" max="14848" width="9.140625" style="52"/>
    <col min="14849" max="14849" width="0.42578125" style="52" customWidth="1"/>
    <col min="14850" max="14850" width="9.28515625" style="52" bestFit="1" customWidth="1"/>
    <col min="14851" max="14852" width="9.140625" style="52"/>
    <col min="14853" max="14853" width="5.42578125" style="52" customWidth="1"/>
    <col min="14854" max="14854" width="10.7109375" style="52" customWidth="1"/>
    <col min="14855" max="14855" width="15.140625" style="52" bestFit="1" customWidth="1"/>
    <col min="14856" max="14857" width="16.140625" style="52" customWidth="1"/>
    <col min="14858" max="15104" width="9.140625" style="52"/>
    <col min="15105" max="15105" width="0.42578125" style="52" customWidth="1"/>
    <col min="15106" max="15106" width="9.28515625" style="52" bestFit="1" customWidth="1"/>
    <col min="15107" max="15108" width="9.140625" style="52"/>
    <col min="15109" max="15109" width="5.42578125" style="52" customWidth="1"/>
    <col min="15110" max="15110" width="10.7109375" style="52" customWidth="1"/>
    <col min="15111" max="15111" width="15.140625" style="52" bestFit="1" customWidth="1"/>
    <col min="15112" max="15113" width="16.140625" style="52" customWidth="1"/>
    <col min="15114" max="15360" width="9.140625" style="52"/>
    <col min="15361" max="15361" width="0.42578125" style="52" customWidth="1"/>
    <col min="15362" max="15362" width="9.28515625" style="52" bestFit="1" customWidth="1"/>
    <col min="15363" max="15364" width="9.140625" style="52"/>
    <col min="15365" max="15365" width="5.42578125" style="52" customWidth="1"/>
    <col min="15366" max="15366" width="10.7109375" style="52" customWidth="1"/>
    <col min="15367" max="15367" width="15.140625" style="52" bestFit="1" customWidth="1"/>
    <col min="15368" max="15369" width="16.140625" style="52" customWidth="1"/>
    <col min="15370" max="15616" width="9.140625" style="52"/>
    <col min="15617" max="15617" width="0.42578125" style="52" customWidth="1"/>
    <col min="15618" max="15618" width="9.28515625" style="52" bestFit="1" customWidth="1"/>
    <col min="15619" max="15620" width="9.140625" style="52"/>
    <col min="15621" max="15621" width="5.42578125" style="52" customWidth="1"/>
    <col min="15622" max="15622" width="10.7109375" style="52" customWidth="1"/>
    <col min="15623" max="15623" width="15.140625" style="52" bestFit="1" customWidth="1"/>
    <col min="15624" max="15625" width="16.140625" style="52" customWidth="1"/>
    <col min="15626" max="15872" width="9.140625" style="52"/>
    <col min="15873" max="15873" width="0.42578125" style="52" customWidth="1"/>
    <col min="15874" max="15874" width="9.28515625" style="52" bestFit="1" customWidth="1"/>
    <col min="15875" max="15876" width="9.140625" style="52"/>
    <col min="15877" max="15877" width="5.42578125" style="52" customWidth="1"/>
    <col min="15878" max="15878" width="10.7109375" style="52" customWidth="1"/>
    <col min="15879" max="15879" width="15.140625" style="52" bestFit="1" customWidth="1"/>
    <col min="15880" max="15881" width="16.140625" style="52" customWidth="1"/>
    <col min="15882" max="16128" width="9.140625" style="52"/>
    <col min="16129" max="16129" width="0.42578125" style="52" customWidth="1"/>
    <col min="16130" max="16130" width="9.28515625" style="52" bestFit="1" customWidth="1"/>
    <col min="16131" max="16132" width="9.140625" style="52"/>
    <col min="16133" max="16133" width="5.42578125" style="52" customWidth="1"/>
    <col min="16134" max="16134" width="10.7109375" style="52" customWidth="1"/>
    <col min="16135" max="16135" width="15.140625" style="52" bestFit="1" customWidth="1"/>
    <col min="16136" max="16137" width="16.140625" style="52" customWidth="1"/>
    <col min="16138" max="16384" width="9.140625" style="52"/>
  </cols>
  <sheetData>
    <row r="1" spans="1:11">
      <c r="G1" s="315" t="s">
        <v>111</v>
      </c>
      <c r="H1" s="316"/>
      <c r="I1" s="316"/>
    </row>
    <row r="2" spans="1:11">
      <c r="G2" s="315"/>
      <c r="H2" s="315"/>
      <c r="I2" s="315"/>
    </row>
    <row r="3" spans="1:11">
      <c r="G3" s="71"/>
      <c r="H3" s="71"/>
      <c r="I3" s="71"/>
    </row>
    <row r="4" spans="1:11">
      <c r="G4" s="71"/>
      <c r="H4" s="71"/>
      <c r="I4" s="71"/>
    </row>
    <row r="5" spans="1:11">
      <c r="A5" s="322" t="s">
        <v>112</v>
      </c>
      <c r="B5" s="322"/>
      <c r="C5" s="322"/>
      <c r="D5" s="322"/>
      <c r="E5" s="322"/>
      <c r="F5" s="322"/>
      <c r="G5" s="322"/>
      <c r="H5" s="322"/>
      <c r="I5" s="322"/>
    </row>
    <row r="6" spans="1:11">
      <c r="A6" s="322" t="s">
        <v>113</v>
      </c>
      <c r="B6" s="322"/>
      <c r="C6" s="322"/>
      <c r="D6" s="322"/>
      <c r="E6" s="322"/>
      <c r="F6" s="322"/>
      <c r="G6" s="322"/>
      <c r="H6" s="322"/>
      <c r="I6" s="322"/>
    </row>
    <row r="7" spans="1:11">
      <c r="A7" s="323" t="s">
        <v>160</v>
      </c>
      <c r="B7" s="323"/>
      <c r="C7" s="323"/>
      <c r="D7" s="323"/>
      <c r="E7" s="323"/>
      <c r="F7" s="323"/>
      <c r="G7" s="323"/>
      <c r="H7" s="323"/>
      <c r="I7" s="323"/>
      <c r="J7" s="59"/>
    </row>
    <row r="8" spans="1:11">
      <c r="A8" s="323" t="s">
        <v>437</v>
      </c>
      <c r="B8" s="323"/>
      <c r="C8" s="323"/>
      <c r="D8" s="323"/>
      <c r="E8" s="323"/>
      <c r="F8" s="323"/>
      <c r="G8" s="323"/>
      <c r="H8" s="323"/>
      <c r="I8" s="323"/>
      <c r="J8" s="59"/>
    </row>
    <row r="9" spans="1:11">
      <c r="A9" s="50"/>
      <c r="B9" s="72"/>
      <c r="C9" s="325" t="s">
        <v>162</v>
      </c>
      <c r="D9" s="325"/>
      <c r="E9" s="325"/>
      <c r="F9" s="325"/>
      <c r="G9" s="325"/>
      <c r="H9" s="325"/>
      <c r="I9" s="325"/>
      <c r="J9" s="60"/>
    </row>
    <row r="10" spans="1:11">
      <c r="A10" s="50"/>
      <c r="B10" s="72"/>
      <c r="C10" s="171"/>
      <c r="D10" s="171"/>
      <c r="E10" s="171"/>
      <c r="F10" s="171"/>
      <c r="G10" s="171"/>
      <c r="H10" s="171"/>
      <c r="I10" s="171"/>
      <c r="J10" s="60"/>
    </row>
    <row r="11" spans="1:11">
      <c r="B11" s="73" t="s">
        <v>114</v>
      </c>
      <c r="C11" s="74"/>
      <c r="D11" s="73"/>
      <c r="E11" s="73"/>
      <c r="F11" s="73"/>
      <c r="G11" s="73"/>
      <c r="I11" s="75"/>
      <c r="J11" s="61"/>
    </row>
    <row r="12" spans="1:11">
      <c r="B12" s="76"/>
      <c r="C12" s="77"/>
      <c r="D12" s="76"/>
      <c r="E12" s="76"/>
      <c r="F12" s="76"/>
      <c r="G12" s="76"/>
      <c r="H12" s="97"/>
      <c r="I12" s="75"/>
      <c r="J12" s="61"/>
    </row>
    <row r="13" spans="1:11">
      <c r="B13" s="324" t="s">
        <v>115</v>
      </c>
      <c r="C13" s="324"/>
      <c r="D13" s="324"/>
      <c r="E13" s="324"/>
      <c r="F13" s="324"/>
      <c r="G13" s="324"/>
      <c r="H13" s="324"/>
      <c r="I13" s="324"/>
    </row>
    <row r="14" spans="1:11" ht="63">
      <c r="B14" s="333" t="s">
        <v>116</v>
      </c>
      <c r="C14" s="303"/>
      <c r="D14" s="303"/>
      <c r="E14" s="334"/>
      <c r="F14" s="193" t="s">
        <v>117</v>
      </c>
      <c r="G14" s="164" t="s">
        <v>118</v>
      </c>
      <c r="H14" s="194" t="s">
        <v>119</v>
      </c>
      <c r="I14" s="195" t="s">
        <v>120</v>
      </c>
    </row>
    <row r="15" spans="1:11">
      <c r="B15" s="317">
        <v>1</v>
      </c>
      <c r="C15" s="318"/>
      <c r="D15" s="318"/>
      <c r="E15" s="319"/>
      <c r="F15" s="320">
        <v>2</v>
      </c>
      <c r="G15" s="321"/>
      <c r="H15" s="138">
        <v>3</v>
      </c>
      <c r="I15" s="184">
        <v>4</v>
      </c>
    </row>
    <row r="16" spans="1:11">
      <c r="B16" s="326">
        <v>2464847.67</v>
      </c>
      <c r="C16" s="327"/>
      <c r="D16" s="327"/>
      <c r="E16" s="328"/>
      <c r="F16" s="185">
        <v>54697</v>
      </c>
      <c r="G16" s="137">
        <f>B16*12</f>
        <v>29578172.039999999</v>
      </c>
      <c r="H16" s="137">
        <f>G16*30.2%</f>
        <v>8932607.956079999</v>
      </c>
      <c r="I16" s="79">
        <f>G16+H16</f>
        <v>38510779.996079996</v>
      </c>
      <c r="J16" s="112"/>
      <c r="K16" s="111"/>
    </row>
    <row r="17" spans="2:11">
      <c r="B17" s="80"/>
      <c r="C17" s="80"/>
      <c r="D17" s="80"/>
      <c r="E17" s="80"/>
      <c r="F17" s="81"/>
      <c r="G17" s="82"/>
      <c r="H17" s="83"/>
      <c r="I17" s="84"/>
    </row>
    <row r="18" spans="2:11">
      <c r="B18" s="329" t="s">
        <v>121</v>
      </c>
      <c r="C18" s="329"/>
      <c r="D18" s="329"/>
      <c r="E18" s="329"/>
      <c r="F18" s="329"/>
      <c r="G18" s="329"/>
      <c r="H18" s="329"/>
      <c r="I18" s="329"/>
    </row>
    <row r="19" spans="2:11">
      <c r="B19" s="78" t="s">
        <v>122</v>
      </c>
      <c r="C19" s="320" t="s">
        <v>176</v>
      </c>
      <c r="D19" s="335"/>
      <c r="E19" s="335"/>
      <c r="F19" s="321"/>
      <c r="G19" s="78" t="s">
        <v>124</v>
      </c>
      <c r="H19" s="78" t="s">
        <v>125</v>
      </c>
      <c r="I19" s="78" t="s">
        <v>126</v>
      </c>
    </row>
    <row r="20" spans="2:11">
      <c r="B20" s="176">
        <v>2</v>
      </c>
      <c r="C20" s="392" t="s">
        <v>177</v>
      </c>
      <c r="D20" s="393"/>
      <c r="E20" s="393"/>
      <c r="F20" s="394"/>
      <c r="G20" s="148"/>
      <c r="H20" s="68"/>
      <c r="I20" s="68"/>
      <c r="K20" s="52"/>
    </row>
    <row r="21" spans="2:11">
      <c r="B21" s="176"/>
      <c r="C21" s="337" t="s">
        <v>178</v>
      </c>
      <c r="D21" s="338"/>
      <c r="E21" s="338"/>
      <c r="F21" s="339"/>
      <c r="G21" s="148">
        <v>850</v>
      </c>
      <c r="H21" s="68">
        <v>68.45</v>
      </c>
      <c r="I21" s="68">
        <f t="shared" ref="I21:I23" si="0">G21*H21</f>
        <v>58182.5</v>
      </c>
      <c r="J21" s="112"/>
      <c r="K21" s="52"/>
    </row>
    <row r="22" spans="2:11" ht="42" customHeight="1">
      <c r="B22" s="176"/>
      <c r="C22" s="367" t="s">
        <v>182</v>
      </c>
      <c r="D22" s="368"/>
      <c r="E22" s="368"/>
      <c r="F22" s="369"/>
      <c r="G22" s="148">
        <v>200</v>
      </c>
      <c r="H22" s="68">
        <v>150</v>
      </c>
      <c r="I22" s="68">
        <f t="shared" si="0"/>
        <v>30000</v>
      </c>
      <c r="K22" s="52"/>
    </row>
    <row r="23" spans="2:11">
      <c r="B23" s="176"/>
      <c r="C23" s="337" t="s">
        <v>183</v>
      </c>
      <c r="D23" s="338"/>
      <c r="E23" s="338"/>
      <c r="F23" s="339"/>
      <c r="G23" s="148">
        <v>20</v>
      </c>
      <c r="H23" s="68">
        <v>550</v>
      </c>
      <c r="I23" s="68">
        <f t="shared" si="0"/>
        <v>11000</v>
      </c>
      <c r="K23" s="52"/>
    </row>
    <row r="24" spans="2:11">
      <c r="B24" s="176"/>
      <c r="C24" s="337" t="s">
        <v>327</v>
      </c>
      <c r="D24" s="338"/>
      <c r="E24" s="338"/>
      <c r="F24" s="339"/>
      <c r="G24" s="148">
        <v>9</v>
      </c>
      <c r="H24" s="68">
        <v>1100</v>
      </c>
      <c r="I24" s="68">
        <f>G24*H24</f>
        <v>9900</v>
      </c>
      <c r="K24" s="52"/>
    </row>
    <row r="25" spans="2:11">
      <c r="B25" s="176"/>
      <c r="C25" s="174"/>
      <c r="D25" s="177"/>
      <c r="E25" s="177"/>
      <c r="F25" s="175"/>
      <c r="G25" s="148"/>
      <c r="H25" s="68"/>
      <c r="I25" s="68"/>
      <c r="K25" s="52"/>
    </row>
    <row r="26" spans="2:11">
      <c r="B26" s="176">
        <v>3</v>
      </c>
      <c r="C26" s="392" t="s">
        <v>184</v>
      </c>
      <c r="D26" s="393"/>
      <c r="E26" s="393"/>
      <c r="F26" s="394"/>
      <c r="G26" s="148"/>
      <c r="H26" s="68"/>
      <c r="I26" s="68"/>
      <c r="K26" s="52"/>
    </row>
    <row r="27" spans="2:11">
      <c r="B27" s="176"/>
      <c r="C27" s="337" t="s">
        <v>185</v>
      </c>
      <c r="D27" s="338"/>
      <c r="E27" s="338"/>
      <c r="F27" s="339"/>
      <c r="G27" s="149">
        <v>20</v>
      </c>
      <c r="H27" s="150">
        <v>1200</v>
      </c>
      <c r="I27" s="68">
        <f>G27*H27</f>
        <v>24000</v>
      </c>
      <c r="K27" s="52"/>
    </row>
    <row r="28" spans="2:11">
      <c r="B28" s="176"/>
      <c r="C28" s="337" t="s">
        <v>186</v>
      </c>
      <c r="D28" s="338"/>
      <c r="E28" s="338"/>
      <c r="F28" s="339"/>
      <c r="G28" s="149">
        <v>200</v>
      </c>
      <c r="H28" s="150">
        <v>65</v>
      </c>
      <c r="I28" s="68">
        <f t="shared" ref="I28:I34" si="1">G28*H28</f>
        <v>13000</v>
      </c>
      <c r="K28" s="52"/>
    </row>
    <row r="29" spans="2:11">
      <c r="B29" s="176"/>
      <c r="C29" s="337" t="s">
        <v>187</v>
      </c>
      <c r="D29" s="338"/>
      <c r="E29" s="338"/>
      <c r="F29" s="339"/>
      <c r="G29" s="149">
        <v>30</v>
      </c>
      <c r="H29" s="150">
        <v>250</v>
      </c>
      <c r="I29" s="68">
        <f t="shared" si="1"/>
        <v>7500</v>
      </c>
      <c r="K29" s="52"/>
    </row>
    <row r="30" spans="2:11">
      <c r="B30" s="176">
        <v>4</v>
      </c>
      <c r="C30" s="392" t="s">
        <v>188</v>
      </c>
      <c r="D30" s="393"/>
      <c r="E30" s="393"/>
      <c r="F30" s="394"/>
      <c r="G30" s="148"/>
      <c r="H30" s="68"/>
      <c r="I30" s="68"/>
      <c r="K30" s="52"/>
    </row>
    <row r="31" spans="2:11">
      <c r="B31" s="176"/>
      <c r="C31" s="337" t="s">
        <v>432</v>
      </c>
      <c r="D31" s="338"/>
      <c r="E31" s="338"/>
      <c r="F31" s="339"/>
      <c r="G31" s="149">
        <v>20</v>
      </c>
      <c r="H31" s="150">
        <v>350</v>
      </c>
      <c r="I31" s="68">
        <f t="shared" si="1"/>
        <v>7000</v>
      </c>
      <c r="K31" s="52"/>
    </row>
    <row r="32" spans="2:11">
      <c r="B32" s="176"/>
      <c r="C32" s="337" t="s">
        <v>307</v>
      </c>
      <c r="D32" s="338"/>
      <c r="E32" s="338"/>
      <c r="F32" s="339"/>
      <c r="G32" s="149">
        <v>200</v>
      </c>
      <c r="H32" s="150">
        <v>60</v>
      </c>
      <c r="I32" s="68">
        <f t="shared" si="1"/>
        <v>12000</v>
      </c>
    </row>
    <row r="33" spans="2:14">
      <c r="B33" s="176"/>
      <c r="C33" s="337" t="s">
        <v>433</v>
      </c>
      <c r="D33" s="338"/>
      <c r="E33" s="338"/>
      <c r="F33" s="339"/>
      <c r="G33" s="149">
        <v>10</v>
      </c>
      <c r="H33" s="150">
        <v>6000</v>
      </c>
      <c r="I33" s="68">
        <f t="shared" si="1"/>
        <v>60000</v>
      </c>
    </row>
    <row r="34" spans="2:14">
      <c r="B34" s="176"/>
      <c r="C34" s="174" t="s">
        <v>189</v>
      </c>
      <c r="D34" s="177"/>
      <c r="E34" s="177"/>
      <c r="F34" s="175"/>
      <c r="G34" s="149">
        <v>80</v>
      </c>
      <c r="H34" s="150">
        <v>450</v>
      </c>
      <c r="I34" s="68">
        <f t="shared" si="1"/>
        <v>36000</v>
      </c>
    </row>
    <row r="35" spans="2:14">
      <c r="B35" s="340" t="s">
        <v>127</v>
      </c>
      <c r="C35" s="341"/>
      <c r="D35" s="341"/>
      <c r="E35" s="341"/>
      <c r="F35" s="341"/>
      <c r="G35" s="341"/>
      <c r="H35" s="342"/>
      <c r="I35" s="79">
        <f>I21+I22+I23+I24+I27+I28+I29+I31+I32+I33+I34</f>
        <v>268582.5</v>
      </c>
      <c r="J35" s="62"/>
      <c r="N35" s="104"/>
    </row>
    <row r="36" spans="2:14">
      <c r="B36" s="85"/>
      <c r="C36" s="86"/>
      <c r="D36" s="86"/>
      <c r="E36" s="86"/>
      <c r="F36" s="86"/>
      <c r="G36" s="86"/>
      <c r="H36" s="86"/>
      <c r="I36" s="87"/>
      <c r="J36" s="62"/>
    </row>
    <row r="37" spans="2:14">
      <c r="B37" s="49" t="s">
        <v>128</v>
      </c>
      <c r="C37" s="55"/>
      <c r="D37" s="55"/>
      <c r="E37" s="55"/>
      <c r="F37" s="55"/>
      <c r="G37" s="85"/>
      <c r="H37" s="87"/>
      <c r="I37" s="87"/>
      <c r="J37" s="62"/>
    </row>
    <row r="38" spans="2:14">
      <c r="B38" s="78" t="s">
        <v>122</v>
      </c>
      <c r="C38" s="320" t="s">
        <v>123</v>
      </c>
      <c r="D38" s="335"/>
      <c r="E38" s="335"/>
      <c r="F38" s="321"/>
      <c r="G38" s="138" t="s">
        <v>124</v>
      </c>
      <c r="H38" s="138" t="s">
        <v>125</v>
      </c>
      <c r="I38" s="138" t="s">
        <v>126</v>
      </c>
      <c r="J38" s="62"/>
    </row>
    <row r="39" spans="2:14">
      <c r="B39" s="78">
        <v>1</v>
      </c>
      <c r="C39" s="333" t="s">
        <v>424</v>
      </c>
      <c r="D39" s="380"/>
      <c r="E39" s="380"/>
      <c r="F39" s="381"/>
      <c r="G39" s="151" t="s">
        <v>394</v>
      </c>
      <c r="H39" s="152" t="s">
        <v>425</v>
      </c>
      <c r="I39" s="68">
        <f>G39*H39</f>
        <v>220000</v>
      </c>
      <c r="J39" s="62"/>
    </row>
    <row r="40" spans="2:14" ht="18.75" customHeight="1">
      <c r="B40" s="78">
        <v>2</v>
      </c>
      <c r="C40" s="333" t="s">
        <v>426</v>
      </c>
      <c r="D40" s="380"/>
      <c r="E40" s="380"/>
      <c r="F40" s="381"/>
      <c r="G40" s="151" t="s">
        <v>393</v>
      </c>
      <c r="H40" s="152" t="s">
        <v>427</v>
      </c>
      <c r="I40" s="68">
        <f>G40*H40</f>
        <v>18000</v>
      </c>
      <c r="J40" s="62"/>
    </row>
    <row r="41" spans="2:14" ht="18.75" customHeight="1">
      <c r="B41" s="78">
        <v>3</v>
      </c>
      <c r="C41" s="333" t="s">
        <v>428</v>
      </c>
      <c r="D41" s="303"/>
      <c r="E41" s="303"/>
      <c r="F41" s="334"/>
      <c r="G41" s="153">
        <v>2</v>
      </c>
      <c r="H41" s="154">
        <v>24500</v>
      </c>
      <c r="I41" s="68">
        <f t="shared" ref="I41:I42" si="2">G41*H41</f>
        <v>49000</v>
      </c>
      <c r="J41" s="62"/>
    </row>
    <row r="42" spans="2:14" ht="18.75" customHeight="1">
      <c r="B42" s="78">
        <v>4</v>
      </c>
      <c r="C42" s="333" t="s">
        <v>429</v>
      </c>
      <c r="D42" s="303"/>
      <c r="E42" s="303"/>
      <c r="F42" s="334"/>
      <c r="G42" s="153">
        <v>2</v>
      </c>
      <c r="H42" s="154">
        <v>50000</v>
      </c>
      <c r="I42" s="68">
        <f t="shared" si="2"/>
        <v>100000</v>
      </c>
      <c r="J42" s="62"/>
    </row>
    <row r="43" spans="2:14" s="129" customFormat="1">
      <c r="B43" s="340" t="s">
        <v>127</v>
      </c>
      <c r="C43" s="341"/>
      <c r="D43" s="341"/>
      <c r="E43" s="341"/>
      <c r="F43" s="341"/>
      <c r="G43" s="341"/>
      <c r="H43" s="342"/>
      <c r="I43" s="79">
        <f>SUM(I39:I42)</f>
        <v>387000</v>
      </c>
      <c r="J43" s="62"/>
      <c r="K43" s="128"/>
    </row>
    <row r="44" spans="2:14">
      <c r="B44" s="49"/>
      <c r="C44" s="55"/>
      <c r="D44" s="55"/>
      <c r="E44" s="55"/>
      <c r="F44" s="55"/>
      <c r="G44" s="85"/>
      <c r="H44" s="87"/>
      <c r="I44" s="87"/>
      <c r="J44" s="62"/>
    </row>
    <row r="45" spans="2:14">
      <c r="G45" s="97"/>
      <c r="I45" s="97"/>
      <c r="J45" s="112"/>
    </row>
    <row r="46" spans="2:14">
      <c r="B46" s="73" t="s">
        <v>131</v>
      </c>
      <c r="C46" s="76"/>
      <c r="D46" s="139"/>
      <c r="E46" s="139"/>
      <c r="F46" s="139"/>
      <c r="G46" s="88"/>
      <c r="I46" s="89"/>
    </row>
    <row r="47" spans="2:14">
      <c r="B47" s="176" t="s">
        <v>122</v>
      </c>
      <c r="C47" s="155" t="s">
        <v>129</v>
      </c>
      <c r="D47" s="178"/>
      <c r="E47" s="178"/>
      <c r="F47" s="176" t="s">
        <v>132</v>
      </c>
      <c r="G47" s="135" t="s">
        <v>133</v>
      </c>
      <c r="H47" s="176" t="s">
        <v>134</v>
      </c>
      <c r="I47" s="142" t="s">
        <v>126</v>
      </c>
    </row>
    <row r="48" spans="2:14">
      <c r="B48" s="78">
        <v>1</v>
      </c>
      <c r="C48" s="196" t="s">
        <v>135</v>
      </c>
      <c r="D48" s="197"/>
      <c r="E48" s="197"/>
      <c r="F48" s="78" t="s">
        <v>136</v>
      </c>
      <c r="G48" s="78">
        <v>947.66</v>
      </c>
      <c r="H48" s="78">
        <v>18660</v>
      </c>
      <c r="I48" s="179">
        <f>G48*H48+9343.78</f>
        <v>17692679.379999999</v>
      </c>
      <c r="L48" s="110"/>
    </row>
    <row r="49" spans="2:16">
      <c r="B49" s="78">
        <v>2</v>
      </c>
      <c r="C49" s="196" t="s">
        <v>168</v>
      </c>
      <c r="D49" s="197"/>
      <c r="E49" s="197"/>
      <c r="F49" s="78" t="s">
        <v>137</v>
      </c>
      <c r="G49" s="179">
        <v>89438.8</v>
      </c>
      <c r="H49" s="179">
        <v>51.375999999999998</v>
      </c>
      <c r="I49" s="137">
        <f>G49*H49</f>
        <v>4595007.7888000002</v>
      </c>
      <c r="J49" s="112"/>
      <c r="N49" s="169"/>
      <c r="O49" s="169"/>
      <c r="P49" s="169"/>
    </row>
    <row r="50" spans="2:16">
      <c r="B50" s="78">
        <v>3</v>
      </c>
      <c r="C50" s="196" t="s">
        <v>84</v>
      </c>
      <c r="D50" s="197"/>
      <c r="E50" s="197"/>
      <c r="F50" s="78" t="s">
        <v>139</v>
      </c>
      <c r="G50" s="78">
        <v>10</v>
      </c>
      <c r="H50" s="78">
        <v>625.16</v>
      </c>
      <c r="I50" s="137">
        <f>G50*H50</f>
        <v>6251.5999999999995</v>
      </c>
      <c r="N50" s="169"/>
      <c r="O50" s="169"/>
      <c r="P50" s="169"/>
    </row>
    <row r="51" spans="2:16">
      <c r="B51" s="78">
        <v>4</v>
      </c>
      <c r="C51" s="196" t="s">
        <v>258</v>
      </c>
      <c r="D51" s="197"/>
      <c r="E51" s="197"/>
      <c r="F51" s="78" t="s">
        <v>139</v>
      </c>
      <c r="G51" s="78">
        <v>996</v>
      </c>
      <c r="H51" s="78">
        <v>424.19</v>
      </c>
      <c r="I51" s="137">
        <f>422874.97+2.08</f>
        <v>422877.05</v>
      </c>
      <c r="J51" s="112"/>
      <c r="N51" s="169"/>
      <c r="O51" s="169"/>
      <c r="P51" s="169"/>
    </row>
    <row r="52" spans="2:16">
      <c r="B52" s="78">
        <v>5</v>
      </c>
      <c r="C52" s="196" t="s">
        <v>193</v>
      </c>
      <c r="D52" s="197"/>
      <c r="E52" s="197"/>
      <c r="F52" s="78" t="s">
        <v>139</v>
      </c>
      <c r="G52" s="78">
        <v>420</v>
      </c>
      <c r="H52" s="78">
        <v>482.25</v>
      </c>
      <c r="I52" s="137">
        <f>G52*H52</f>
        <v>202545</v>
      </c>
      <c r="N52" s="169"/>
      <c r="O52" s="169"/>
      <c r="P52" s="169"/>
    </row>
    <row r="53" spans="2:16" s="129" customFormat="1">
      <c r="B53" s="348" t="s">
        <v>140</v>
      </c>
      <c r="C53" s="349"/>
      <c r="D53" s="349"/>
      <c r="E53" s="349"/>
      <c r="F53" s="349"/>
      <c r="G53" s="349"/>
      <c r="H53" s="350"/>
      <c r="I53" s="198">
        <f>SUM(I48:I50)+I52+I51</f>
        <v>22919360.818800002</v>
      </c>
      <c r="J53" s="132"/>
      <c r="K53" s="128"/>
      <c r="L53" s="126"/>
    </row>
    <row r="54" spans="2:16">
      <c r="B54" s="91"/>
      <c r="C54" s="91"/>
      <c r="D54" s="91"/>
      <c r="E54" s="91"/>
      <c r="F54" s="91"/>
      <c r="G54" s="91"/>
      <c r="H54" s="91"/>
      <c r="I54" s="92"/>
    </row>
    <row r="55" spans="2:16">
      <c r="B55" s="329" t="s">
        <v>141</v>
      </c>
      <c r="C55" s="329"/>
      <c r="D55" s="329"/>
      <c r="E55" s="329"/>
      <c r="F55" s="329"/>
      <c r="G55" s="329"/>
      <c r="H55" s="329"/>
      <c r="I55" s="329"/>
    </row>
    <row r="56" spans="2:16">
      <c r="B56" s="399" t="s">
        <v>3</v>
      </c>
      <c r="C56" s="399"/>
      <c r="D56" s="399"/>
      <c r="E56" s="399"/>
      <c r="F56" s="399"/>
      <c r="G56" s="399"/>
      <c r="H56" s="399"/>
      <c r="I56" s="101"/>
    </row>
    <row r="57" spans="2:16">
      <c r="B57" s="400" t="s">
        <v>144</v>
      </c>
      <c r="C57" s="400"/>
      <c r="D57" s="400"/>
      <c r="E57" s="400"/>
      <c r="F57" s="400"/>
      <c r="G57" s="400"/>
      <c r="H57" s="400"/>
      <c r="I57" s="400"/>
    </row>
    <row r="58" spans="2:16" ht="31.5">
      <c r="B58" s="164" t="s">
        <v>122</v>
      </c>
      <c r="C58" s="373" t="s">
        <v>79</v>
      </c>
      <c r="D58" s="373"/>
      <c r="E58" s="164" t="s">
        <v>392</v>
      </c>
      <c r="F58" s="164" t="s">
        <v>283</v>
      </c>
      <c r="G58" s="164" t="s">
        <v>284</v>
      </c>
      <c r="H58" s="148" t="s">
        <v>155</v>
      </c>
      <c r="I58" s="181"/>
      <c r="J58" s="173"/>
      <c r="K58" s="58"/>
      <c r="L58" s="88"/>
    </row>
    <row r="59" spans="2:16" ht="15.75" customHeight="1">
      <c r="B59" s="199" t="s">
        <v>393</v>
      </c>
      <c r="C59" s="374" t="s">
        <v>388</v>
      </c>
      <c r="D59" s="374"/>
      <c r="E59" s="200"/>
      <c r="F59" s="200"/>
      <c r="G59" s="200"/>
      <c r="H59" s="201"/>
      <c r="I59" s="108"/>
      <c r="J59" s="173"/>
      <c r="K59" s="58"/>
      <c r="L59" s="88"/>
    </row>
    <row r="60" spans="2:16">
      <c r="B60" s="199" t="s">
        <v>394</v>
      </c>
      <c r="C60" s="375" t="s">
        <v>389</v>
      </c>
      <c r="D60" s="376"/>
      <c r="E60" s="200"/>
      <c r="F60" s="190">
        <v>12</v>
      </c>
      <c r="G60" s="190">
        <v>25000</v>
      </c>
      <c r="H60" s="68">
        <f>25000*12</f>
        <v>300000</v>
      </c>
      <c r="I60" s="108"/>
      <c r="J60" s="173"/>
      <c r="K60" s="58"/>
      <c r="L60" s="88"/>
    </row>
    <row r="61" spans="2:16" ht="35.25" customHeight="1">
      <c r="B61" s="199" t="s">
        <v>395</v>
      </c>
      <c r="C61" s="375" t="s">
        <v>285</v>
      </c>
      <c r="D61" s="376"/>
      <c r="E61" s="200" t="s">
        <v>396</v>
      </c>
      <c r="F61" s="190">
        <v>300</v>
      </c>
      <c r="G61" s="190">
        <v>1.75</v>
      </c>
      <c r="H61" s="68">
        <f>(300*8)*1.75*12</f>
        <v>50400</v>
      </c>
      <c r="I61" s="108"/>
      <c r="J61" s="85"/>
      <c r="K61" s="58"/>
      <c r="L61" s="88"/>
    </row>
    <row r="62" spans="2:16">
      <c r="B62" s="199" t="s">
        <v>397</v>
      </c>
      <c r="C62" s="375" t="s">
        <v>390</v>
      </c>
      <c r="D62" s="376"/>
      <c r="E62" s="200"/>
      <c r="F62" s="190">
        <v>20</v>
      </c>
      <c r="G62" s="190">
        <v>682.13</v>
      </c>
      <c r="H62" s="68">
        <v>384286.92</v>
      </c>
      <c r="I62" s="108"/>
      <c r="J62" s="85"/>
      <c r="K62" s="58"/>
      <c r="L62" s="88"/>
    </row>
    <row r="63" spans="2:16">
      <c r="B63" s="199" t="s">
        <v>398</v>
      </c>
      <c r="C63" s="375" t="s">
        <v>286</v>
      </c>
      <c r="D63" s="376"/>
      <c r="E63" s="200"/>
      <c r="F63" s="190"/>
      <c r="G63" s="190"/>
      <c r="H63" s="68">
        <v>20000</v>
      </c>
      <c r="I63" s="108"/>
      <c r="J63" s="85"/>
      <c r="K63" s="58"/>
      <c r="L63" s="88"/>
    </row>
    <row r="64" spans="2:16">
      <c r="B64" s="199" t="s">
        <v>399</v>
      </c>
      <c r="C64" s="375" t="s">
        <v>287</v>
      </c>
      <c r="D64" s="376"/>
      <c r="E64" s="200"/>
      <c r="F64" s="190">
        <v>19</v>
      </c>
      <c r="G64" s="190">
        <v>720</v>
      </c>
      <c r="H64" s="68">
        <v>136134.85999999999</v>
      </c>
      <c r="I64" s="108"/>
      <c r="J64" s="173"/>
      <c r="K64" s="58"/>
      <c r="L64" s="88"/>
    </row>
    <row r="65" spans="2:13">
      <c r="B65" s="199" t="s">
        <v>400</v>
      </c>
      <c r="C65" s="377" t="s">
        <v>288</v>
      </c>
      <c r="D65" s="377"/>
      <c r="E65" s="200"/>
      <c r="F65" s="190"/>
      <c r="G65" s="190"/>
      <c r="H65" s="202">
        <f>F65*G65</f>
        <v>0</v>
      </c>
      <c r="I65" s="108"/>
      <c r="J65" s="85"/>
      <c r="K65" s="58"/>
      <c r="L65" s="88"/>
    </row>
    <row r="66" spans="2:13">
      <c r="B66" s="199" t="s">
        <v>306</v>
      </c>
      <c r="C66" s="375" t="s">
        <v>289</v>
      </c>
      <c r="D66" s="376"/>
      <c r="E66" s="200" t="s">
        <v>401</v>
      </c>
      <c r="F66" s="190">
        <v>60</v>
      </c>
      <c r="G66" s="190">
        <v>30</v>
      </c>
      <c r="H66" s="68">
        <v>1800</v>
      </c>
      <c r="I66" s="182"/>
      <c r="J66" s="85"/>
      <c r="K66" s="58"/>
      <c r="L66" s="88"/>
    </row>
    <row r="67" spans="2:13">
      <c r="B67" s="199" t="s">
        <v>402</v>
      </c>
      <c r="C67" s="375" t="s">
        <v>391</v>
      </c>
      <c r="D67" s="376"/>
      <c r="E67" s="200" t="s">
        <v>401</v>
      </c>
      <c r="F67" s="190">
        <v>50</v>
      </c>
      <c r="G67" s="190">
        <v>15</v>
      </c>
      <c r="H67" s="68">
        <v>750</v>
      </c>
      <c r="I67" s="108"/>
      <c r="J67" s="85"/>
      <c r="K67" s="58"/>
      <c r="L67" s="88"/>
    </row>
    <row r="68" spans="2:13">
      <c r="B68" s="199" t="s">
        <v>403</v>
      </c>
      <c r="C68" s="375" t="s">
        <v>290</v>
      </c>
      <c r="D68" s="376"/>
      <c r="E68" s="200" t="s">
        <v>401</v>
      </c>
      <c r="F68" s="190">
        <v>1</v>
      </c>
      <c r="G68" s="190">
        <v>538</v>
      </c>
      <c r="H68" s="68">
        <f>F68*G68*12</f>
        <v>6456</v>
      </c>
      <c r="I68" s="108"/>
      <c r="J68" s="85"/>
      <c r="K68" s="58"/>
      <c r="L68" s="88"/>
    </row>
    <row r="69" spans="2:13" ht="15.75" customHeight="1">
      <c r="B69" s="199" t="s">
        <v>404</v>
      </c>
      <c r="C69" s="378" t="s">
        <v>291</v>
      </c>
      <c r="D69" s="378"/>
      <c r="E69" s="203"/>
      <c r="F69" s="203"/>
      <c r="G69" s="204"/>
      <c r="H69" s="205"/>
      <c r="I69" s="108"/>
      <c r="J69" s="85"/>
      <c r="K69" s="58"/>
      <c r="L69" s="88"/>
    </row>
    <row r="70" spans="2:13" s="129" customFormat="1">
      <c r="B70" s="206" t="s">
        <v>140</v>
      </c>
      <c r="C70" s="207"/>
      <c r="D70" s="207"/>
      <c r="E70" s="207"/>
      <c r="F70" s="207"/>
      <c r="G70" s="207"/>
      <c r="H70" s="93">
        <f>H60+H61+H62+H63+H64+H65+H66+H67+H68</f>
        <v>899827.77999999991</v>
      </c>
      <c r="I70" s="130"/>
      <c r="J70" s="132"/>
      <c r="K70" s="128"/>
    </row>
    <row r="71" spans="2:13">
      <c r="B71" s="173"/>
      <c r="C71" s="173"/>
      <c r="D71" s="173"/>
      <c r="E71" s="85"/>
      <c r="F71" s="85"/>
      <c r="G71" s="84"/>
      <c r="H71" s="84"/>
      <c r="I71" s="85"/>
    </row>
    <row r="72" spans="2:13">
      <c r="B72" s="173" t="s">
        <v>145</v>
      </c>
      <c r="C72" s="173"/>
      <c r="D72" s="173"/>
      <c r="E72" s="85"/>
      <c r="F72" s="85"/>
      <c r="G72" s="84"/>
      <c r="H72" s="84"/>
      <c r="I72" s="85"/>
    </row>
    <row r="73" spans="2:13" ht="31.5">
      <c r="B73" s="176" t="s">
        <v>122</v>
      </c>
      <c r="C73" s="401" t="s">
        <v>79</v>
      </c>
      <c r="D73" s="402"/>
      <c r="E73" s="172" t="s">
        <v>296</v>
      </c>
      <c r="F73" s="65" t="s">
        <v>297</v>
      </c>
      <c r="G73" s="65" t="s">
        <v>294</v>
      </c>
      <c r="H73" s="65" t="s">
        <v>295</v>
      </c>
      <c r="I73" s="68" t="s">
        <v>126</v>
      </c>
      <c r="J73" s="84"/>
      <c r="K73" s="85"/>
      <c r="L73" s="58"/>
      <c r="M73" s="88"/>
    </row>
    <row r="74" spans="2:13" ht="48" customHeight="1">
      <c r="B74" s="176">
        <v>1</v>
      </c>
      <c r="C74" s="337" t="s">
        <v>298</v>
      </c>
      <c r="D74" s="339"/>
      <c r="E74" s="164" t="s">
        <v>299</v>
      </c>
      <c r="F74" s="164">
        <v>8</v>
      </c>
      <c r="G74" s="164">
        <v>6</v>
      </c>
      <c r="H74" s="164">
        <v>1000</v>
      </c>
      <c r="I74" s="68">
        <f>H74*G74*F74</f>
        <v>48000</v>
      </c>
      <c r="J74" s="84"/>
      <c r="K74" s="85"/>
      <c r="L74" s="58"/>
      <c r="M74" s="88"/>
    </row>
    <row r="75" spans="2:13" ht="45.75" customHeight="1">
      <c r="B75" s="176">
        <v>2</v>
      </c>
      <c r="C75" s="337" t="s">
        <v>301</v>
      </c>
      <c r="D75" s="339"/>
      <c r="E75" s="164" t="s">
        <v>299</v>
      </c>
      <c r="F75" s="164">
        <v>2</v>
      </c>
      <c r="G75" s="164">
        <v>5</v>
      </c>
      <c r="H75" s="164">
        <v>3000</v>
      </c>
      <c r="I75" s="68">
        <f t="shared" ref="I75:I79" si="3">H75*G75*F75</f>
        <v>30000</v>
      </c>
      <c r="J75" s="84"/>
      <c r="K75" s="85"/>
      <c r="L75" s="58"/>
      <c r="M75" s="88"/>
    </row>
    <row r="76" spans="2:13">
      <c r="B76" s="410">
        <v>3</v>
      </c>
      <c r="C76" s="395" t="s">
        <v>302</v>
      </c>
      <c r="D76" s="396"/>
      <c r="E76" s="190" t="s">
        <v>300</v>
      </c>
      <c r="F76" s="208">
        <v>4</v>
      </c>
      <c r="G76" s="192">
        <v>5</v>
      </c>
      <c r="H76" s="202">
        <v>1000</v>
      </c>
      <c r="I76" s="68">
        <f t="shared" si="3"/>
        <v>20000</v>
      </c>
      <c r="J76" s="84"/>
      <c r="K76" s="85"/>
      <c r="L76" s="58"/>
      <c r="M76" s="88"/>
    </row>
    <row r="77" spans="2:13" ht="60.75" customHeight="1">
      <c r="B77" s="411"/>
      <c r="C77" s="397"/>
      <c r="D77" s="398"/>
      <c r="E77" s="190" t="s">
        <v>299</v>
      </c>
      <c r="F77" s="208">
        <v>2</v>
      </c>
      <c r="G77" s="192">
        <v>3</v>
      </c>
      <c r="H77" s="202">
        <v>3000</v>
      </c>
      <c r="I77" s="68">
        <f t="shared" si="3"/>
        <v>18000</v>
      </c>
      <c r="J77" s="84"/>
      <c r="K77" s="85"/>
      <c r="L77" s="58"/>
      <c r="M77" s="88"/>
    </row>
    <row r="78" spans="2:13" ht="30" customHeight="1">
      <c r="B78" s="176">
        <v>4</v>
      </c>
      <c r="C78" s="367" t="s">
        <v>303</v>
      </c>
      <c r="D78" s="369"/>
      <c r="E78" s="69" t="s">
        <v>300</v>
      </c>
      <c r="F78" s="208">
        <v>1</v>
      </c>
      <c r="G78" s="192">
        <v>20</v>
      </c>
      <c r="H78" s="202">
        <v>1725</v>
      </c>
      <c r="I78" s="68">
        <f t="shared" si="3"/>
        <v>34500</v>
      </c>
      <c r="J78" s="84"/>
      <c r="K78" s="85"/>
      <c r="L78" s="58"/>
      <c r="M78" s="88"/>
    </row>
    <row r="79" spans="2:13" ht="36" customHeight="1">
      <c r="B79" s="176">
        <v>5</v>
      </c>
      <c r="C79" s="337" t="s">
        <v>304</v>
      </c>
      <c r="D79" s="339"/>
      <c r="E79" s="190" t="s">
        <v>299</v>
      </c>
      <c r="F79" s="208">
        <v>2</v>
      </c>
      <c r="G79" s="192">
        <v>20</v>
      </c>
      <c r="H79" s="202">
        <v>1000</v>
      </c>
      <c r="I79" s="68">
        <f t="shared" si="3"/>
        <v>40000</v>
      </c>
      <c r="J79" s="84"/>
      <c r="K79" s="85"/>
      <c r="L79" s="58"/>
      <c r="M79" s="88"/>
    </row>
    <row r="80" spans="2:13" s="129" customFormat="1">
      <c r="B80" s="348" t="s">
        <v>140</v>
      </c>
      <c r="C80" s="349"/>
      <c r="D80" s="349"/>
      <c r="E80" s="349"/>
      <c r="F80" s="349"/>
      <c r="G80" s="350"/>
      <c r="H80" s="160"/>
      <c r="I80" s="93">
        <f>SUM(I74:I79)</f>
        <v>190500</v>
      </c>
      <c r="J80" s="102"/>
      <c r="K80" s="130"/>
      <c r="L80" s="132"/>
      <c r="M80" s="128"/>
    </row>
    <row r="81" spans="2:13">
      <c r="B81" s="173"/>
      <c r="C81" s="173"/>
      <c r="D81" s="173"/>
      <c r="E81" s="85"/>
      <c r="F81" s="85"/>
      <c r="G81" s="84"/>
      <c r="H81" s="84"/>
      <c r="I81" s="85"/>
    </row>
    <row r="82" spans="2:13">
      <c r="B82" s="95" t="s">
        <v>310</v>
      </c>
      <c r="C82" s="85"/>
      <c r="D82" s="85"/>
      <c r="E82" s="85"/>
      <c r="F82" s="96"/>
      <c r="G82" s="96"/>
      <c r="H82" s="96"/>
    </row>
    <row r="83" spans="2:13">
      <c r="B83" s="95"/>
      <c r="C83" s="85"/>
      <c r="D83" s="85"/>
      <c r="E83" s="85"/>
      <c r="F83" s="96"/>
      <c r="G83" s="96"/>
      <c r="H83" s="96"/>
    </row>
    <row r="84" spans="2:13">
      <c r="B84" s="73" t="s">
        <v>311</v>
      </c>
      <c r="C84" s="76"/>
      <c r="D84" s="76"/>
      <c r="E84" s="76"/>
      <c r="H84" s="98"/>
    </row>
    <row r="85" spans="2:13" ht="31.5">
      <c r="B85" s="176" t="s">
        <v>122</v>
      </c>
      <c r="C85" s="382" t="s">
        <v>129</v>
      </c>
      <c r="D85" s="382"/>
      <c r="E85" s="382"/>
      <c r="F85" s="382"/>
      <c r="G85" s="135" t="s">
        <v>142</v>
      </c>
      <c r="H85" s="176" t="s">
        <v>143</v>
      </c>
      <c r="I85" s="176" t="s">
        <v>126</v>
      </c>
      <c r="J85" s="52"/>
      <c r="K85" s="58"/>
      <c r="L85" s="88"/>
    </row>
    <row r="86" spans="2:13" ht="48.75" customHeight="1">
      <c r="B86" s="176">
        <v>1</v>
      </c>
      <c r="C86" s="366" t="s">
        <v>305</v>
      </c>
      <c r="D86" s="366"/>
      <c r="E86" s="366"/>
      <c r="F86" s="366"/>
      <c r="G86" s="135">
        <v>12</v>
      </c>
      <c r="H86" s="176">
        <v>2383</v>
      </c>
      <c r="I86" s="209">
        <f>G86*H86</f>
        <v>28596</v>
      </c>
      <c r="J86" s="52"/>
      <c r="K86" s="58"/>
      <c r="L86" s="88"/>
    </row>
    <row r="87" spans="2:13" ht="48.75" customHeight="1">
      <c r="B87" s="176">
        <v>2</v>
      </c>
      <c r="C87" s="366" t="s">
        <v>359</v>
      </c>
      <c r="D87" s="366"/>
      <c r="E87" s="366"/>
      <c r="F87" s="366"/>
      <c r="G87" s="135">
        <v>4</v>
      </c>
      <c r="H87" s="176">
        <v>16192.17</v>
      </c>
      <c r="I87" s="209">
        <f t="shared" ref="I87:I93" si="4">G87*H87</f>
        <v>64768.68</v>
      </c>
      <c r="J87" s="52"/>
      <c r="K87" s="58"/>
      <c r="L87" s="88"/>
    </row>
    <row r="88" spans="2:13" ht="48.75" customHeight="1">
      <c r="B88" s="176">
        <v>3</v>
      </c>
      <c r="C88" s="366" t="s">
        <v>360</v>
      </c>
      <c r="D88" s="366"/>
      <c r="E88" s="366"/>
      <c r="F88" s="366"/>
      <c r="G88" s="135">
        <v>4</v>
      </c>
      <c r="H88" s="176">
        <v>15759</v>
      </c>
      <c r="I88" s="209">
        <f t="shared" si="4"/>
        <v>63036</v>
      </c>
      <c r="J88" s="52"/>
      <c r="K88" s="58"/>
      <c r="L88" s="88"/>
    </row>
    <row r="89" spans="2:13" ht="48.75" customHeight="1">
      <c r="B89" s="176">
        <v>4</v>
      </c>
      <c r="C89" s="366" t="s">
        <v>361</v>
      </c>
      <c r="D89" s="366"/>
      <c r="E89" s="366"/>
      <c r="F89" s="366"/>
      <c r="G89" s="135">
        <v>4</v>
      </c>
      <c r="H89" s="176">
        <v>15759</v>
      </c>
      <c r="I89" s="209">
        <f t="shared" si="4"/>
        <v>63036</v>
      </c>
      <c r="J89" s="52"/>
      <c r="K89" s="58"/>
      <c r="L89" s="88"/>
    </row>
    <row r="90" spans="2:13" ht="48.75" customHeight="1">
      <c r="B90" s="176">
        <v>5</v>
      </c>
      <c r="C90" s="366" t="s">
        <v>362</v>
      </c>
      <c r="D90" s="366"/>
      <c r="E90" s="366"/>
      <c r="F90" s="366"/>
      <c r="G90" s="135">
        <v>4</v>
      </c>
      <c r="H90" s="176">
        <v>16737.78</v>
      </c>
      <c r="I90" s="209">
        <f t="shared" si="4"/>
        <v>66951.12</v>
      </c>
      <c r="J90" s="52"/>
      <c r="K90" s="58"/>
      <c r="L90" s="88"/>
    </row>
    <row r="91" spans="2:13" ht="48.75" customHeight="1">
      <c r="B91" s="176">
        <v>6</v>
      </c>
      <c r="C91" s="366" t="s">
        <v>363</v>
      </c>
      <c r="D91" s="366"/>
      <c r="E91" s="366"/>
      <c r="F91" s="366"/>
      <c r="G91" s="135">
        <v>4</v>
      </c>
      <c r="H91" s="176">
        <v>18704.669999999998</v>
      </c>
      <c r="I91" s="209">
        <f t="shared" si="4"/>
        <v>74818.679999999993</v>
      </c>
      <c r="J91" s="52"/>
      <c r="K91" s="58"/>
      <c r="L91" s="88"/>
    </row>
    <row r="92" spans="2:13" ht="48.75" customHeight="1">
      <c r="B92" s="176">
        <v>7</v>
      </c>
      <c r="C92" s="366" t="s">
        <v>363</v>
      </c>
      <c r="D92" s="366"/>
      <c r="E92" s="366"/>
      <c r="F92" s="366"/>
      <c r="G92" s="135">
        <v>4</v>
      </c>
      <c r="H92" s="176">
        <v>18704.669999999998</v>
      </c>
      <c r="I92" s="209">
        <f t="shared" si="4"/>
        <v>74818.679999999993</v>
      </c>
      <c r="J92" s="52"/>
      <c r="K92" s="58"/>
      <c r="L92" s="88"/>
    </row>
    <row r="93" spans="2:13" ht="48.75" customHeight="1">
      <c r="B93" s="176">
        <v>8</v>
      </c>
      <c r="C93" s="366" t="s">
        <v>407</v>
      </c>
      <c r="D93" s="366"/>
      <c r="E93" s="366"/>
      <c r="F93" s="366"/>
      <c r="G93" s="135">
        <v>4</v>
      </c>
      <c r="H93" s="176">
        <v>18704.669999999998</v>
      </c>
      <c r="I93" s="209">
        <f t="shared" si="4"/>
        <v>74818.679999999993</v>
      </c>
      <c r="J93" s="52"/>
      <c r="K93" s="58"/>
      <c r="L93" s="88"/>
    </row>
    <row r="94" spans="2:13" ht="65.25" customHeight="1">
      <c r="B94" s="176">
        <v>9</v>
      </c>
      <c r="C94" s="366" t="s">
        <v>173</v>
      </c>
      <c r="D94" s="366"/>
      <c r="E94" s="366"/>
      <c r="F94" s="366"/>
      <c r="G94" s="176">
        <v>12</v>
      </c>
      <c r="H94" s="176">
        <v>13435.57</v>
      </c>
      <c r="I94" s="209">
        <v>237558.48</v>
      </c>
      <c r="J94" s="97"/>
      <c r="K94" s="58"/>
      <c r="L94" s="88"/>
    </row>
    <row r="95" spans="2:13" ht="42.75" customHeight="1">
      <c r="B95" s="176">
        <v>10</v>
      </c>
      <c r="C95" s="366" t="s">
        <v>174</v>
      </c>
      <c r="D95" s="366"/>
      <c r="E95" s="366"/>
      <c r="F95" s="366"/>
      <c r="G95" s="176">
        <v>12</v>
      </c>
      <c r="H95" s="209">
        <v>30664.17</v>
      </c>
      <c r="I95" s="209">
        <f>G95*H95</f>
        <v>367970.04</v>
      </c>
      <c r="J95" s="52"/>
      <c r="K95" s="58"/>
      <c r="L95" s="88"/>
      <c r="M95" s="97"/>
    </row>
    <row r="96" spans="2:13" ht="42.75" customHeight="1">
      <c r="B96" s="176">
        <v>11</v>
      </c>
      <c r="C96" s="367" t="s">
        <v>364</v>
      </c>
      <c r="D96" s="368"/>
      <c r="E96" s="368"/>
      <c r="F96" s="369"/>
      <c r="G96" s="176">
        <v>4</v>
      </c>
      <c r="H96" s="209">
        <v>17300</v>
      </c>
      <c r="I96" s="209">
        <f>G96*H96</f>
        <v>69200</v>
      </c>
      <c r="J96" s="52"/>
      <c r="K96" s="58"/>
      <c r="L96" s="88"/>
      <c r="M96" s="97"/>
    </row>
    <row r="97" spans="2:13" ht="42.75" customHeight="1">
      <c r="B97" s="176">
        <v>12</v>
      </c>
      <c r="C97" s="367" t="s">
        <v>408</v>
      </c>
      <c r="D97" s="368"/>
      <c r="E97" s="368"/>
      <c r="F97" s="369"/>
      <c r="G97" s="176">
        <v>4</v>
      </c>
      <c r="H97" s="209">
        <v>17300</v>
      </c>
      <c r="I97" s="209">
        <f>G97*H97</f>
        <v>69200</v>
      </c>
      <c r="J97" s="52"/>
      <c r="K97" s="58"/>
      <c r="L97" s="88"/>
      <c r="M97" s="97"/>
    </row>
    <row r="98" spans="2:13" ht="42.75" customHeight="1">
      <c r="B98" s="176">
        <v>13</v>
      </c>
      <c r="C98" s="367" t="s">
        <v>409</v>
      </c>
      <c r="D98" s="368"/>
      <c r="E98" s="368"/>
      <c r="F98" s="369"/>
      <c r="G98" s="176">
        <v>4</v>
      </c>
      <c r="H98" s="209">
        <v>17300</v>
      </c>
      <c r="I98" s="209">
        <f>G98*H98</f>
        <v>69200</v>
      </c>
      <c r="J98" s="52"/>
      <c r="K98" s="58"/>
      <c r="L98" s="88"/>
      <c r="M98" s="97"/>
    </row>
    <row r="99" spans="2:13">
      <c r="B99" s="389" t="s">
        <v>140</v>
      </c>
      <c r="C99" s="389"/>
      <c r="D99" s="389"/>
      <c r="E99" s="389"/>
      <c r="F99" s="389"/>
      <c r="G99" s="389"/>
      <c r="H99" s="389"/>
      <c r="I99" s="93">
        <f>SUM(I86:I98)-10044.52</f>
        <v>1313927.8399999999</v>
      </c>
      <c r="J99" s="52"/>
      <c r="K99" s="58"/>
      <c r="L99" s="88"/>
    </row>
    <row r="100" spans="2:13">
      <c r="B100" s="173"/>
      <c r="C100" s="173"/>
      <c r="D100" s="173"/>
      <c r="E100" s="173"/>
      <c r="F100" s="55"/>
      <c r="G100" s="83"/>
      <c r="H100" s="84"/>
    </row>
    <row r="101" spans="2:13">
      <c r="B101" s="73" t="s">
        <v>312</v>
      </c>
      <c r="C101" s="76"/>
      <c r="D101" s="76"/>
      <c r="E101" s="76"/>
    </row>
    <row r="102" spans="2:13" ht="15.75" customHeight="1">
      <c r="B102" s="78" t="s">
        <v>122</v>
      </c>
      <c r="C102" s="386" t="s">
        <v>321</v>
      </c>
      <c r="D102" s="387"/>
      <c r="E102" s="387"/>
      <c r="F102" s="388"/>
      <c r="G102" s="320" t="s">
        <v>146</v>
      </c>
      <c r="H102" s="321"/>
    </row>
    <row r="103" spans="2:13">
      <c r="B103" s="78">
        <v>1</v>
      </c>
      <c r="C103" s="196" t="s">
        <v>320</v>
      </c>
      <c r="D103" s="197"/>
      <c r="E103" s="197"/>
      <c r="F103" s="197"/>
      <c r="G103" s="390">
        <v>3106</v>
      </c>
      <c r="H103" s="391"/>
      <c r="J103" s="112"/>
    </row>
    <row r="104" spans="2:13" ht="30" customHeight="1">
      <c r="B104" s="176">
        <v>3</v>
      </c>
      <c r="C104" s="304" t="s">
        <v>358</v>
      </c>
      <c r="D104" s="305"/>
      <c r="E104" s="305"/>
      <c r="F104" s="363"/>
      <c r="G104" s="364">
        <v>3000</v>
      </c>
      <c r="H104" s="365"/>
    </row>
    <row r="105" spans="2:13" s="129" customFormat="1">
      <c r="B105" s="389" t="s">
        <v>140</v>
      </c>
      <c r="C105" s="389"/>
      <c r="D105" s="389"/>
      <c r="E105" s="389"/>
      <c r="F105" s="389"/>
      <c r="G105" s="412">
        <f>G103+G104</f>
        <v>6106</v>
      </c>
      <c r="H105" s="413"/>
      <c r="J105" s="132"/>
      <c r="K105" s="128"/>
    </row>
    <row r="106" spans="2:13">
      <c r="B106" s="55"/>
      <c r="C106" s="55"/>
      <c r="D106" s="55"/>
      <c r="E106" s="55"/>
      <c r="F106" s="55"/>
      <c r="G106" s="96"/>
      <c r="H106" s="95"/>
    </row>
    <row r="107" spans="2:13">
      <c r="B107" s="95" t="s">
        <v>313</v>
      </c>
      <c r="C107" s="96"/>
      <c r="D107" s="96"/>
      <c r="E107" s="96"/>
      <c r="F107" s="85"/>
      <c r="G107" s="85"/>
      <c r="H107" s="85"/>
    </row>
    <row r="108" spans="2:13">
      <c r="B108" s="176" t="s">
        <v>122</v>
      </c>
      <c r="C108" s="320" t="s">
        <v>147</v>
      </c>
      <c r="D108" s="321"/>
      <c r="E108" s="156" t="s">
        <v>148</v>
      </c>
      <c r="F108" s="157"/>
      <c r="G108" s="320" t="s">
        <v>130</v>
      </c>
      <c r="H108" s="321"/>
    </row>
    <row r="109" spans="2:13" ht="45" customHeight="1">
      <c r="B109" s="176">
        <v>1</v>
      </c>
      <c r="C109" s="358" t="s">
        <v>331</v>
      </c>
      <c r="D109" s="359"/>
      <c r="E109" s="358" t="s">
        <v>167</v>
      </c>
      <c r="F109" s="361"/>
      <c r="G109" s="408">
        <v>60000</v>
      </c>
      <c r="H109" s="409"/>
      <c r="J109" s="112"/>
    </row>
    <row r="110" spans="2:13" ht="34.5" customHeight="1">
      <c r="B110" s="176">
        <v>5</v>
      </c>
      <c r="C110" s="358" t="s">
        <v>333</v>
      </c>
      <c r="D110" s="359"/>
      <c r="E110" s="358" t="s">
        <v>167</v>
      </c>
      <c r="F110" s="361"/>
      <c r="G110" s="301">
        <v>124000</v>
      </c>
      <c r="H110" s="302"/>
      <c r="J110" s="112"/>
      <c r="K110" s="52"/>
    </row>
    <row r="111" spans="2:13" ht="39" customHeight="1">
      <c r="B111" s="176">
        <v>6</v>
      </c>
      <c r="C111" s="358" t="s">
        <v>376</v>
      </c>
      <c r="D111" s="359"/>
      <c r="E111" s="358" t="s">
        <v>167</v>
      </c>
      <c r="F111" s="361"/>
      <c r="G111" s="301">
        <v>60000</v>
      </c>
      <c r="H111" s="302"/>
      <c r="J111" s="112"/>
      <c r="K111" s="52"/>
    </row>
    <row r="112" spans="2:13" ht="39" customHeight="1">
      <c r="B112" s="176">
        <v>7</v>
      </c>
      <c r="C112" s="358" t="s">
        <v>377</v>
      </c>
      <c r="D112" s="359"/>
      <c r="E112" s="358" t="s">
        <v>378</v>
      </c>
      <c r="F112" s="361"/>
      <c r="G112" s="301">
        <v>71680</v>
      </c>
      <c r="H112" s="302"/>
      <c r="J112" s="112"/>
      <c r="K112" s="52"/>
    </row>
    <row r="113" spans="2:12" ht="39" customHeight="1">
      <c r="B113" s="176">
        <v>8</v>
      </c>
      <c r="C113" s="332" t="s">
        <v>335</v>
      </c>
      <c r="D113" s="332"/>
      <c r="E113" s="358" t="s">
        <v>337</v>
      </c>
      <c r="F113" s="361"/>
      <c r="G113" s="301">
        <v>60000</v>
      </c>
      <c r="H113" s="302"/>
      <c r="J113" s="112"/>
      <c r="K113" s="52"/>
    </row>
    <row r="114" spans="2:12" ht="39" customHeight="1">
      <c r="B114" s="176">
        <v>9</v>
      </c>
      <c r="C114" s="383" t="s">
        <v>334</v>
      </c>
      <c r="D114" s="384"/>
      <c r="E114" s="383" t="s">
        <v>165</v>
      </c>
      <c r="F114" s="407"/>
      <c r="G114" s="301">
        <v>153200</v>
      </c>
      <c r="H114" s="302"/>
      <c r="J114" s="112"/>
      <c r="K114" s="52"/>
    </row>
    <row r="115" spans="2:12" ht="39" customHeight="1">
      <c r="B115" s="176">
        <v>10</v>
      </c>
      <c r="C115" s="383" t="s">
        <v>383</v>
      </c>
      <c r="D115" s="385"/>
      <c r="E115" s="383" t="s">
        <v>165</v>
      </c>
      <c r="F115" s="407"/>
      <c r="G115" s="301">
        <v>165200</v>
      </c>
      <c r="H115" s="302"/>
      <c r="J115" s="112"/>
      <c r="K115" s="52"/>
    </row>
    <row r="116" spans="2:12" ht="39" customHeight="1">
      <c r="B116" s="176">
        <v>11</v>
      </c>
      <c r="C116" s="358" t="s">
        <v>260</v>
      </c>
      <c r="D116" s="359"/>
      <c r="E116" s="358" t="s">
        <v>167</v>
      </c>
      <c r="F116" s="361"/>
      <c r="G116" s="301">
        <v>60000</v>
      </c>
      <c r="H116" s="302"/>
      <c r="J116" s="112"/>
      <c r="K116" s="52"/>
    </row>
    <row r="117" spans="2:12" ht="39" customHeight="1">
      <c r="B117" s="176">
        <v>12</v>
      </c>
      <c r="C117" s="358" t="s">
        <v>384</v>
      </c>
      <c r="D117" s="359"/>
      <c r="E117" s="358" t="s">
        <v>167</v>
      </c>
      <c r="F117" s="361"/>
      <c r="G117" s="301">
        <v>60000</v>
      </c>
      <c r="H117" s="302"/>
      <c r="J117" s="112"/>
      <c r="K117" s="52"/>
    </row>
    <row r="118" spans="2:12" ht="39" customHeight="1">
      <c r="B118" s="176">
        <v>13</v>
      </c>
      <c r="C118" s="358" t="s">
        <v>385</v>
      </c>
      <c r="D118" s="361"/>
      <c r="E118" s="358" t="s">
        <v>386</v>
      </c>
      <c r="F118" s="361"/>
      <c r="G118" s="301">
        <v>214620</v>
      </c>
      <c r="H118" s="302"/>
      <c r="J118" s="112"/>
      <c r="K118" s="52"/>
    </row>
    <row r="119" spans="2:12" ht="39" customHeight="1">
      <c r="B119" s="176">
        <v>14</v>
      </c>
      <c r="C119" s="358" t="s">
        <v>261</v>
      </c>
      <c r="D119" s="361"/>
      <c r="E119" s="358" t="s">
        <v>259</v>
      </c>
      <c r="F119" s="361"/>
      <c r="G119" s="301">
        <v>77000</v>
      </c>
      <c r="H119" s="302"/>
      <c r="J119" s="112"/>
      <c r="K119" s="52"/>
    </row>
    <row r="120" spans="2:12" s="129" customFormat="1">
      <c r="B120" s="143" t="s">
        <v>140</v>
      </c>
      <c r="C120" s="144"/>
      <c r="D120" s="144"/>
      <c r="E120" s="144"/>
      <c r="F120" s="144"/>
      <c r="G120" s="158">
        <f>G109+G110+G111+G112+G113+G114+G115+G116+G117+G118+G119</f>
        <v>1105700</v>
      </c>
      <c r="H120" s="147"/>
      <c r="J120" s="131"/>
      <c r="K120" s="128"/>
    </row>
    <row r="122" spans="2:12">
      <c r="B122" s="73" t="s">
        <v>314</v>
      </c>
      <c r="C122" s="76"/>
      <c r="D122" s="76"/>
      <c r="E122" s="76"/>
      <c r="F122" s="76"/>
      <c r="I122" s="88"/>
    </row>
    <row r="123" spans="2:12">
      <c r="B123" s="73" t="s">
        <v>149</v>
      </c>
      <c r="C123" s="76"/>
      <c r="D123" s="76"/>
      <c r="E123" s="76"/>
      <c r="F123" s="76"/>
      <c r="I123" s="103"/>
    </row>
    <row r="124" spans="2:12" ht="47.25">
      <c r="B124" s="176" t="s">
        <v>122</v>
      </c>
      <c r="C124" s="309" t="s">
        <v>150</v>
      </c>
      <c r="D124" s="310"/>
      <c r="E124" s="311"/>
      <c r="F124" s="163" t="s">
        <v>151</v>
      </c>
      <c r="G124" s="162" t="s">
        <v>152</v>
      </c>
      <c r="H124" s="164" t="s">
        <v>153</v>
      </c>
      <c r="I124" s="135" t="s">
        <v>154</v>
      </c>
      <c r="J124" s="172" t="s">
        <v>155</v>
      </c>
      <c r="K124" s="58"/>
      <c r="L124" s="88"/>
    </row>
    <row r="125" spans="2:12" ht="83.25" customHeight="1">
      <c r="B125" s="176">
        <v>1</v>
      </c>
      <c r="C125" s="333" t="s">
        <v>262</v>
      </c>
      <c r="D125" s="303"/>
      <c r="E125" s="334"/>
      <c r="F125" s="210">
        <v>10</v>
      </c>
      <c r="G125" s="210">
        <v>7</v>
      </c>
      <c r="H125" s="211">
        <v>350</v>
      </c>
      <c r="I125" s="166">
        <v>2</v>
      </c>
      <c r="J125" s="209">
        <f>F125*G125*H125*I125</f>
        <v>49000</v>
      </c>
      <c r="K125" s="58"/>
      <c r="L125" s="88"/>
    </row>
    <row r="126" spans="2:12" ht="69.75" customHeight="1">
      <c r="B126" s="176">
        <v>2</v>
      </c>
      <c r="C126" s="333" t="s">
        <v>263</v>
      </c>
      <c r="D126" s="303"/>
      <c r="E126" s="334"/>
      <c r="F126" s="210">
        <v>2</v>
      </c>
      <c r="G126" s="210">
        <v>7</v>
      </c>
      <c r="H126" s="211">
        <v>350</v>
      </c>
      <c r="I126" s="166">
        <v>2</v>
      </c>
      <c r="J126" s="209">
        <f t="shared" ref="J126:J132" si="5">F126*G126*H126*I126</f>
        <v>9800</v>
      </c>
      <c r="K126" s="58"/>
      <c r="L126" s="88"/>
    </row>
    <row r="127" spans="2:12" ht="77.25" customHeight="1">
      <c r="B127" s="176">
        <v>3</v>
      </c>
      <c r="C127" s="333" t="s">
        <v>264</v>
      </c>
      <c r="D127" s="303"/>
      <c r="E127" s="334"/>
      <c r="F127" s="210">
        <v>2</v>
      </c>
      <c r="G127" s="210">
        <v>7</v>
      </c>
      <c r="H127" s="211">
        <v>350</v>
      </c>
      <c r="I127" s="166">
        <v>2</v>
      </c>
      <c r="J127" s="209">
        <f t="shared" si="5"/>
        <v>9800</v>
      </c>
      <c r="K127" s="58"/>
      <c r="L127" s="88"/>
    </row>
    <row r="128" spans="2:12" ht="64.5" customHeight="1">
      <c r="B128" s="176">
        <v>4</v>
      </c>
      <c r="C128" s="333" t="s">
        <v>265</v>
      </c>
      <c r="D128" s="303"/>
      <c r="E128" s="334"/>
      <c r="F128" s="210">
        <v>2</v>
      </c>
      <c r="G128" s="210">
        <v>7</v>
      </c>
      <c r="H128" s="211">
        <v>350</v>
      </c>
      <c r="I128" s="166">
        <v>2</v>
      </c>
      <c r="J128" s="209">
        <f t="shared" si="5"/>
        <v>9800</v>
      </c>
      <c r="K128" s="58"/>
      <c r="L128" s="88"/>
    </row>
    <row r="129" spans="2:13" ht="69.75" customHeight="1">
      <c r="B129" s="176">
        <v>5</v>
      </c>
      <c r="C129" s="333" t="s">
        <v>266</v>
      </c>
      <c r="D129" s="303"/>
      <c r="E129" s="334"/>
      <c r="F129" s="210">
        <v>2</v>
      </c>
      <c r="G129" s="210">
        <v>7</v>
      </c>
      <c r="H129" s="211">
        <v>350</v>
      </c>
      <c r="I129" s="166">
        <v>2</v>
      </c>
      <c r="J129" s="209">
        <f t="shared" si="5"/>
        <v>9800</v>
      </c>
      <c r="K129" s="58"/>
      <c r="L129" s="88"/>
    </row>
    <row r="130" spans="2:13" ht="69" customHeight="1">
      <c r="B130" s="176">
        <v>6</v>
      </c>
      <c r="C130" s="333" t="s">
        <v>267</v>
      </c>
      <c r="D130" s="303"/>
      <c r="E130" s="334"/>
      <c r="F130" s="210">
        <v>2</v>
      </c>
      <c r="G130" s="210">
        <v>7</v>
      </c>
      <c r="H130" s="211">
        <v>350</v>
      </c>
      <c r="I130" s="166">
        <v>2</v>
      </c>
      <c r="J130" s="209">
        <f t="shared" si="5"/>
        <v>9800</v>
      </c>
      <c r="K130" s="58"/>
      <c r="L130" s="88"/>
    </row>
    <row r="131" spans="2:13" ht="68.25" customHeight="1">
      <c r="B131" s="176">
        <v>7</v>
      </c>
      <c r="C131" s="333" t="s">
        <v>268</v>
      </c>
      <c r="D131" s="303"/>
      <c r="E131" s="334"/>
      <c r="F131" s="210">
        <v>2</v>
      </c>
      <c r="G131" s="210">
        <v>7</v>
      </c>
      <c r="H131" s="211">
        <v>350</v>
      </c>
      <c r="I131" s="166">
        <v>2</v>
      </c>
      <c r="J131" s="209">
        <f t="shared" si="5"/>
        <v>9800</v>
      </c>
      <c r="K131" s="58"/>
      <c r="L131" s="88"/>
    </row>
    <row r="132" spans="2:13" ht="67.5" customHeight="1">
      <c r="B132" s="176">
        <v>8</v>
      </c>
      <c r="C132" s="333" t="s">
        <v>269</v>
      </c>
      <c r="D132" s="303"/>
      <c r="E132" s="334"/>
      <c r="F132" s="210">
        <v>1</v>
      </c>
      <c r="G132" s="210">
        <v>7</v>
      </c>
      <c r="H132" s="211">
        <v>350</v>
      </c>
      <c r="I132" s="166">
        <v>2</v>
      </c>
      <c r="J132" s="209">
        <f t="shared" si="5"/>
        <v>4900</v>
      </c>
      <c r="K132" s="58"/>
      <c r="L132" s="88"/>
    </row>
    <row r="133" spans="2:13" s="129" customFormat="1">
      <c r="B133" s="379" t="s">
        <v>140</v>
      </c>
      <c r="C133" s="379"/>
      <c r="D133" s="379"/>
      <c r="E133" s="379"/>
      <c r="F133" s="379"/>
      <c r="G133" s="379"/>
      <c r="H133" s="379"/>
      <c r="I133" s="379"/>
      <c r="J133" s="93">
        <f>SUM(J125:J132)</f>
        <v>112700</v>
      </c>
      <c r="K133" s="132"/>
      <c r="L133" s="125"/>
    </row>
    <row r="134" spans="2:13">
      <c r="B134" s="73" t="s">
        <v>156</v>
      </c>
      <c r="C134" s="76"/>
      <c r="D134" s="76"/>
      <c r="E134" s="76"/>
      <c r="F134" s="76"/>
      <c r="I134" s="104"/>
    </row>
    <row r="135" spans="2:13" ht="31.5">
      <c r="B135" s="176" t="s">
        <v>122</v>
      </c>
      <c r="C135" s="309" t="s">
        <v>150</v>
      </c>
      <c r="D135" s="310"/>
      <c r="E135" s="311"/>
      <c r="F135" s="163" t="s">
        <v>151</v>
      </c>
      <c r="G135" s="162" t="s">
        <v>152</v>
      </c>
      <c r="H135" s="164" t="s">
        <v>157</v>
      </c>
      <c r="I135" s="135" t="s">
        <v>154</v>
      </c>
      <c r="J135" s="172" t="s">
        <v>155</v>
      </c>
      <c r="K135" s="58"/>
      <c r="L135" s="88"/>
    </row>
    <row r="136" spans="2:13" s="73" customFormat="1" ht="47.25" customHeight="1">
      <c r="B136" s="190">
        <v>1</v>
      </c>
      <c r="C136" s="333" t="s">
        <v>271</v>
      </c>
      <c r="D136" s="303"/>
      <c r="E136" s="334"/>
      <c r="F136" s="210">
        <v>10</v>
      </c>
      <c r="G136" s="212">
        <v>7</v>
      </c>
      <c r="H136" s="211">
        <v>260000</v>
      </c>
      <c r="I136" s="190">
        <v>1</v>
      </c>
      <c r="J136" s="189">
        <f>H136*I136</f>
        <v>260000</v>
      </c>
      <c r="K136" s="59"/>
      <c r="L136" s="49"/>
      <c r="M136" s="170"/>
    </row>
    <row r="137" spans="2:13" s="73" customFormat="1" ht="21" customHeight="1">
      <c r="B137" s="190">
        <v>2</v>
      </c>
      <c r="C137" s="333" t="s">
        <v>272</v>
      </c>
      <c r="D137" s="303"/>
      <c r="E137" s="334"/>
      <c r="F137" s="210">
        <v>2</v>
      </c>
      <c r="G137" s="212">
        <v>7</v>
      </c>
      <c r="H137" s="211">
        <v>34000</v>
      </c>
      <c r="I137" s="190">
        <v>1</v>
      </c>
      <c r="J137" s="189">
        <f t="shared" ref="J137:J143" si="6">H137*I137</f>
        <v>34000</v>
      </c>
      <c r="K137" s="59"/>
      <c r="L137" s="49"/>
      <c r="M137" s="170"/>
    </row>
    <row r="138" spans="2:13" s="73" customFormat="1" ht="31.5" customHeight="1">
      <c r="B138" s="190">
        <v>3</v>
      </c>
      <c r="C138" s="333" t="s">
        <v>273</v>
      </c>
      <c r="D138" s="303"/>
      <c r="E138" s="334"/>
      <c r="F138" s="210">
        <v>2</v>
      </c>
      <c r="G138" s="212">
        <v>7</v>
      </c>
      <c r="H138" s="211">
        <v>17240</v>
      </c>
      <c r="I138" s="190">
        <v>1</v>
      </c>
      <c r="J138" s="189">
        <f t="shared" si="6"/>
        <v>17240</v>
      </c>
      <c r="K138" s="59"/>
      <c r="L138" s="49"/>
      <c r="M138" s="170"/>
    </row>
    <row r="139" spans="2:13" s="73" customFormat="1" ht="31.5" customHeight="1">
      <c r="B139" s="190">
        <v>4</v>
      </c>
      <c r="C139" s="333" t="s">
        <v>274</v>
      </c>
      <c r="D139" s="303"/>
      <c r="E139" s="334"/>
      <c r="F139" s="210">
        <v>2</v>
      </c>
      <c r="G139" s="212">
        <v>7</v>
      </c>
      <c r="H139" s="211">
        <v>23360</v>
      </c>
      <c r="I139" s="190">
        <v>1</v>
      </c>
      <c r="J139" s="189">
        <f t="shared" si="6"/>
        <v>23360</v>
      </c>
      <c r="K139" s="59"/>
      <c r="L139" s="49"/>
      <c r="M139" s="170"/>
    </row>
    <row r="140" spans="2:13" s="73" customFormat="1" ht="31.5" customHeight="1">
      <c r="B140" s="190">
        <v>5</v>
      </c>
      <c r="C140" s="333" t="s">
        <v>275</v>
      </c>
      <c r="D140" s="303"/>
      <c r="E140" s="334"/>
      <c r="F140" s="210">
        <v>2</v>
      </c>
      <c r="G140" s="212">
        <v>7</v>
      </c>
      <c r="H140" s="211">
        <v>23080</v>
      </c>
      <c r="I140" s="190">
        <v>1</v>
      </c>
      <c r="J140" s="189">
        <f t="shared" si="6"/>
        <v>23080</v>
      </c>
      <c r="K140" s="59"/>
      <c r="L140" s="49"/>
      <c r="M140" s="170"/>
    </row>
    <row r="141" spans="2:13" s="73" customFormat="1" ht="31.5" customHeight="1">
      <c r="B141" s="190">
        <v>6</v>
      </c>
      <c r="C141" s="333" t="s">
        <v>276</v>
      </c>
      <c r="D141" s="303"/>
      <c r="E141" s="334"/>
      <c r="F141" s="210">
        <v>2</v>
      </c>
      <c r="G141" s="212">
        <v>7</v>
      </c>
      <c r="H141" s="211">
        <v>28120</v>
      </c>
      <c r="I141" s="190">
        <v>1</v>
      </c>
      <c r="J141" s="189">
        <f t="shared" si="6"/>
        <v>28120</v>
      </c>
      <c r="K141" s="59"/>
      <c r="L141" s="49"/>
      <c r="M141" s="170"/>
    </row>
    <row r="142" spans="2:13" s="73" customFormat="1" ht="31.5" customHeight="1">
      <c r="B142" s="190">
        <v>7</v>
      </c>
      <c r="C142" s="333" t="s">
        <v>277</v>
      </c>
      <c r="D142" s="303"/>
      <c r="E142" s="334"/>
      <c r="F142" s="210">
        <v>2</v>
      </c>
      <c r="G142" s="212">
        <v>7</v>
      </c>
      <c r="H142" s="211">
        <v>25180</v>
      </c>
      <c r="I142" s="190">
        <v>1</v>
      </c>
      <c r="J142" s="189">
        <f t="shared" si="6"/>
        <v>25180</v>
      </c>
      <c r="K142" s="59"/>
      <c r="L142" s="49"/>
      <c r="M142" s="170"/>
    </row>
    <row r="143" spans="2:13" s="73" customFormat="1" ht="31.5" customHeight="1">
      <c r="B143" s="190">
        <v>8</v>
      </c>
      <c r="C143" s="333" t="s">
        <v>278</v>
      </c>
      <c r="D143" s="303"/>
      <c r="E143" s="334"/>
      <c r="F143" s="210">
        <v>1</v>
      </c>
      <c r="G143" s="212">
        <v>7</v>
      </c>
      <c r="H143" s="211">
        <v>2000</v>
      </c>
      <c r="I143" s="190">
        <v>1</v>
      </c>
      <c r="J143" s="189">
        <f t="shared" si="6"/>
        <v>2000</v>
      </c>
      <c r="K143" s="59"/>
      <c r="L143" s="49"/>
      <c r="M143" s="170"/>
    </row>
    <row r="144" spans="2:13" s="129" customFormat="1">
      <c r="B144" s="379" t="s">
        <v>140</v>
      </c>
      <c r="C144" s="379"/>
      <c r="D144" s="379"/>
      <c r="E144" s="379"/>
      <c r="F144" s="379"/>
      <c r="G144" s="379"/>
      <c r="H144" s="379"/>
      <c r="I144" s="379"/>
      <c r="J144" s="93">
        <f>SUM(J136:J143)</f>
        <v>412980</v>
      </c>
      <c r="K144" s="132"/>
      <c r="L144" s="125"/>
    </row>
    <row r="145" spans="2:13">
      <c r="C145" s="73" t="s">
        <v>158</v>
      </c>
      <c r="D145" s="76"/>
      <c r="E145" s="76"/>
      <c r="F145" s="76"/>
      <c r="G145" s="76"/>
      <c r="J145" s="52"/>
      <c r="K145" s="58"/>
      <c r="L145" s="88"/>
    </row>
    <row r="146" spans="2:13" ht="31.5">
      <c r="B146" s="176" t="s">
        <v>122</v>
      </c>
      <c r="C146" s="309" t="s">
        <v>150</v>
      </c>
      <c r="D146" s="310"/>
      <c r="E146" s="311"/>
      <c r="F146" s="213" t="s">
        <v>151</v>
      </c>
      <c r="G146" s="162" t="s">
        <v>152</v>
      </c>
      <c r="H146" s="164" t="s">
        <v>159</v>
      </c>
      <c r="I146" s="135" t="s">
        <v>154</v>
      </c>
      <c r="J146" s="172" t="s">
        <v>155</v>
      </c>
      <c r="K146" s="58"/>
      <c r="L146" s="88"/>
    </row>
    <row r="147" spans="2:13" ht="47.25" customHeight="1">
      <c r="B147" s="176">
        <v>1</v>
      </c>
      <c r="C147" s="333" t="s">
        <v>271</v>
      </c>
      <c r="D147" s="303"/>
      <c r="E147" s="334"/>
      <c r="F147" s="210">
        <v>10</v>
      </c>
      <c r="G147" s="210">
        <v>6</v>
      </c>
      <c r="H147" s="210">
        <v>550</v>
      </c>
      <c r="I147" s="210">
        <v>1</v>
      </c>
      <c r="J147" s="211">
        <f>F147*G147*H147*I147</f>
        <v>33000</v>
      </c>
      <c r="K147" s="58"/>
      <c r="L147" s="88"/>
    </row>
    <row r="148" spans="2:13" ht="27" customHeight="1">
      <c r="B148" s="176">
        <v>2</v>
      </c>
      <c r="C148" s="333" t="s">
        <v>272</v>
      </c>
      <c r="D148" s="303"/>
      <c r="E148" s="334"/>
      <c r="F148" s="210">
        <v>2</v>
      </c>
      <c r="G148" s="210">
        <v>6</v>
      </c>
      <c r="H148" s="210">
        <v>250</v>
      </c>
      <c r="I148" s="210">
        <v>1</v>
      </c>
      <c r="J148" s="211">
        <f t="shared" ref="J148:J154" si="7">F148*G148*H148*I148</f>
        <v>3000</v>
      </c>
      <c r="K148" s="58"/>
      <c r="L148" s="88"/>
    </row>
    <row r="149" spans="2:13" ht="18.75" customHeight="1">
      <c r="B149" s="176">
        <v>3</v>
      </c>
      <c r="C149" s="333" t="s">
        <v>273</v>
      </c>
      <c r="D149" s="303"/>
      <c r="E149" s="334"/>
      <c r="F149" s="210">
        <v>2</v>
      </c>
      <c r="G149" s="210">
        <v>6</v>
      </c>
      <c r="H149" s="210">
        <v>250</v>
      </c>
      <c r="I149" s="210">
        <v>1</v>
      </c>
      <c r="J149" s="211">
        <f t="shared" si="7"/>
        <v>3000</v>
      </c>
      <c r="K149" s="58"/>
      <c r="L149" s="88"/>
    </row>
    <row r="150" spans="2:13" ht="18.75" customHeight="1">
      <c r="B150" s="176">
        <v>4</v>
      </c>
      <c r="C150" s="333" t="s">
        <v>274</v>
      </c>
      <c r="D150" s="303"/>
      <c r="E150" s="334"/>
      <c r="F150" s="210">
        <v>2</v>
      </c>
      <c r="G150" s="210">
        <v>6</v>
      </c>
      <c r="H150" s="210">
        <v>250</v>
      </c>
      <c r="I150" s="210">
        <v>1</v>
      </c>
      <c r="J150" s="211">
        <f t="shared" si="7"/>
        <v>3000</v>
      </c>
      <c r="K150" s="58"/>
      <c r="L150" s="88"/>
    </row>
    <row r="151" spans="2:13" ht="31.5" customHeight="1">
      <c r="B151" s="176">
        <v>5</v>
      </c>
      <c r="C151" s="333" t="s">
        <v>275</v>
      </c>
      <c r="D151" s="303"/>
      <c r="E151" s="334"/>
      <c r="F151" s="210">
        <v>2</v>
      </c>
      <c r="G151" s="210">
        <v>6</v>
      </c>
      <c r="H151" s="210">
        <v>250</v>
      </c>
      <c r="I151" s="210">
        <v>1</v>
      </c>
      <c r="J151" s="211">
        <f t="shared" si="7"/>
        <v>3000</v>
      </c>
      <c r="K151" s="58"/>
      <c r="L151" s="88"/>
    </row>
    <row r="152" spans="2:13" ht="31.5" customHeight="1">
      <c r="B152" s="176">
        <v>6</v>
      </c>
      <c r="C152" s="333" t="s">
        <v>276</v>
      </c>
      <c r="D152" s="303"/>
      <c r="E152" s="334"/>
      <c r="F152" s="210">
        <v>2</v>
      </c>
      <c r="G152" s="210">
        <v>6</v>
      </c>
      <c r="H152" s="210">
        <v>250</v>
      </c>
      <c r="I152" s="210">
        <v>1</v>
      </c>
      <c r="J152" s="211">
        <f t="shared" si="7"/>
        <v>3000</v>
      </c>
      <c r="K152" s="58"/>
      <c r="L152" s="88"/>
    </row>
    <row r="153" spans="2:13" ht="31.5" customHeight="1">
      <c r="B153" s="176">
        <v>7</v>
      </c>
      <c r="C153" s="333" t="s">
        <v>277</v>
      </c>
      <c r="D153" s="303"/>
      <c r="E153" s="334"/>
      <c r="F153" s="210">
        <v>2</v>
      </c>
      <c r="G153" s="210">
        <v>6</v>
      </c>
      <c r="H153" s="210">
        <v>250</v>
      </c>
      <c r="I153" s="210">
        <v>1</v>
      </c>
      <c r="J153" s="211">
        <f t="shared" si="7"/>
        <v>3000</v>
      </c>
      <c r="K153" s="58"/>
      <c r="L153" s="88"/>
    </row>
    <row r="154" spans="2:13" ht="18.75" customHeight="1">
      <c r="B154" s="176">
        <v>8</v>
      </c>
      <c r="C154" s="333" t="s">
        <v>278</v>
      </c>
      <c r="D154" s="303"/>
      <c r="E154" s="334"/>
      <c r="F154" s="210">
        <v>1</v>
      </c>
      <c r="G154" s="210">
        <v>6</v>
      </c>
      <c r="H154" s="210">
        <v>250</v>
      </c>
      <c r="I154" s="210">
        <v>1</v>
      </c>
      <c r="J154" s="211">
        <f t="shared" si="7"/>
        <v>1500</v>
      </c>
      <c r="K154" s="58"/>
      <c r="L154" s="88"/>
    </row>
    <row r="155" spans="2:13" s="129" customFormat="1">
      <c r="B155" s="351" t="s">
        <v>140</v>
      </c>
      <c r="C155" s="352"/>
      <c r="D155" s="352"/>
      <c r="E155" s="352"/>
      <c r="F155" s="352"/>
      <c r="G155" s="352"/>
      <c r="H155" s="352"/>
      <c r="I155" s="353"/>
      <c r="J155" s="214">
        <f>SUM(J147:J154)</f>
        <v>52500</v>
      </c>
      <c r="K155" s="132"/>
      <c r="L155" s="125"/>
    </row>
    <row r="156" spans="2:13">
      <c r="G156" s="215"/>
      <c r="I156" s="64"/>
    </row>
    <row r="157" spans="2:13">
      <c r="B157" s="73" t="s">
        <v>315</v>
      </c>
      <c r="C157" s="76"/>
      <c r="D157" s="76"/>
      <c r="E157" s="76"/>
      <c r="H157" s="98"/>
    </row>
    <row r="158" spans="2:13">
      <c r="B158" s="73" t="s">
        <v>169</v>
      </c>
      <c r="C158" s="73"/>
      <c r="D158" s="73"/>
      <c r="E158" s="73"/>
      <c r="F158" s="73"/>
      <c r="G158" s="73"/>
      <c r="H158" s="94"/>
    </row>
    <row r="159" spans="2:13">
      <c r="B159" s="69" t="s">
        <v>122</v>
      </c>
      <c r="C159" s="346" t="s">
        <v>147</v>
      </c>
      <c r="D159" s="354"/>
      <c r="E159" s="354"/>
      <c r="F159" s="347"/>
      <c r="G159" s="346" t="s">
        <v>329</v>
      </c>
      <c r="H159" s="354"/>
      <c r="I159" s="347"/>
      <c r="J159" s="78" t="s">
        <v>126</v>
      </c>
      <c r="K159" s="58"/>
      <c r="L159" s="88"/>
    </row>
    <row r="160" spans="2:13">
      <c r="B160" s="176">
        <v>1</v>
      </c>
      <c r="C160" s="362" t="s">
        <v>371</v>
      </c>
      <c r="D160" s="362"/>
      <c r="E160" s="362"/>
      <c r="F160" s="362"/>
      <c r="G160" s="370" t="s">
        <v>370</v>
      </c>
      <c r="H160" s="371"/>
      <c r="I160" s="372"/>
      <c r="J160" s="68">
        <v>26000</v>
      </c>
      <c r="K160" s="52"/>
      <c r="L160" s="58"/>
      <c r="M160" s="88"/>
    </row>
    <row r="161" spans="2:13">
      <c r="B161" s="176">
        <v>2</v>
      </c>
      <c r="C161" s="362" t="s">
        <v>372</v>
      </c>
      <c r="D161" s="362"/>
      <c r="E161" s="362"/>
      <c r="F161" s="362"/>
      <c r="G161" s="370" t="s">
        <v>370</v>
      </c>
      <c r="H161" s="371"/>
      <c r="I161" s="372"/>
      <c r="J161" s="68">
        <v>26000</v>
      </c>
      <c r="K161" s="52"/>
      <c r="L161" s="58"/>
      <c r="M161" s="88"/>
    </row>
    <row r="162" spans="2:13">
      <c r="B162" s="176">
        <v>3</v>
      </c>
      <c r="C162" s="362" t="s">
        <v>373</v>
      </c>
      <c r="D162" s="362"/>
      <c r="E162" s="362"/>
      <c r="F162" s="362"/>
      <c r="G162" s="370" t="s">
        <v>370</v>
      </c>
      <c r="H162" s="371"/>
      <c r="I162" s="372"/>
      <c r="J162" s="68">
        <v>26000</v>
      </c>
      <c r="K162" s="52"/>
      <c r="L162" s="58"/>
      <c r="M162" s="88"/>
    </row>
    <row r="163" spans="2:13" s="129" customFormat="1">
      <c r="B163" s="404" t="s">
        <v>140</v>
      </c>
      <c r="C163" s="405"/>
      <c r="D163" s="405"/>
      <c r="E163" s="405"/>
      <c r="F163" s="405"/>
      <c r="G163" s="405"/>
      <c r="H163" s="405"/>
      <c r="I163" s="406"/>
      <c r="J163" s="70">
        <f>SUM(J161:J162)+J160</f>
        <v>78000</v>
      </c>
      <c r="L163" s="132"/>
      <c r="M163" s="128"/>
    </row>
    <row r="164" spans="2:13">
      <c r="B164" s="105"/>
      <c r="C164" s="106"/>
      <c r="D164" s="106"/>
      <c r="E164" s="106"/>
      <c r="F164" s="106"/>
      <c r="G164" s="106"/>
      <c r="H164" s="107"/>
      <c r="I164" s="108"/>
      <c r="J164" s="52"/>
      <c r="K164" s="58"/>
      <c r="L164" s="88"/>
    </row>
    <row r="165" spans="2:13" ht="39" customHeight="1">
      <c r="B165" s="135">
        <v>1</v>
      </c>
      <c r="C165" s="367" t="s">
        <v>170</v>
      </c>
      <c r="D165" s="368"/>
      <c r="E165" s="368"/>
      <c r="F165" s="368"/>
      <c r="G165" s="368"/>
      <c r="H165" s="369"/>
      <c r="I165" s="68">
        <v>40000</v>
      </c>
      <c r="J165" s="52"/>
      <c r="K165" s="58"/>
      <c r="L165" s="88"/>
    </row>
    <row r="166" spans="2:13" ht="41.25" customHeight="1">
      <c r="B166" s="135">
        <v>2</v>
      </c>
      <c r="C166" s="367" t="s">
        <v>171</v>
      </c>
      <c r="D166" s="368"/>
      <c r="E166" s="368"/>
      <c r="F166" s="368"/>
      <c r="G166" s="368"/>
      <c r="H166" s="369"/>
      <c r="I166" s="68">
        <v>40000</v>
      </c>
      <c r="J166" s="52"/>
      <c r="K166" s="58"/>
      <c r="L166" s="88"/>
    </row>
    <row r="167" spans="2:13" ht="18.75" customHeight="1">
      <c r="B167" s="135">
        <v>3</v>
      </c>
      <c r="C167" s="333" t="s">
        <v>172</v>
      </c>
      <c r="D167" s="303"/>
      <c r="E167" s="303"/>
      <c r="F167" s="303"/>
      <c r="G167" s="303"/>
      <c r="H167" s="334"/>
      <c r="I167" s="68">
        <v>48394.23</v>
      </c>
      <c r="J167" s="52"/>
      <c r="K167" s="58"/>
      <c r="L167" s="88"/>
    </row>
    <row r="168" spans="2:13" ht="36" customHeight="1">
      <c r="B168" s="135">
        <v>4</v>
      </c>
      <c r="C168" s="333" t="s">
        <v>415</v>
      </c>
      <c r="D168" s="303"/>
      <c r="E168" s="303"/>
      <c r="F168" s="303"/>
      <c r="G168" s="303"/>
      <c r="H168" s="334"/>
      <c r="I168" s="68">
        <f>3*5000</f>
        <v>15000</v>
      </c>
      <c r="J168" s="52"/>
      <c r="K168" s="58"/>
      <c r="L168" s="88"/>
    </row>
    <row r="169" spans="2:13" ht="44.25" customHeight="1">
      <c r="B169" s="135">
        <v>5</v>
      </c>
      <c r="C169" s="333" t="s">
        <v>416</v>
      </c>
      <c r="D169" s="303"/>
      <c r="E169" s="303"/>
      <c r="F169" s="303"/>
      <c r="G169" s="303"/>
      <c r="H169" s="334"/>
      <c r="I169" s="68">
        <f>66*2500</f>
        <v>165000</v>
      </c>
      <c r="J169" s="52"/>
      <c r="K169" s="58"/>
      <c r="L169" s="88"/>
    </row>
    <row r="170" spans="2:13" ht="18.75" customHeight="1">
      <c r="B170" s="135">
        <v>6</v>
      </c>
      <c r="C170" s="333" t="s">
        <v>175</v>
      </c>
      <c r="D170" s="303"/>
      <c r="E170" s="303"/>
      <c r="F170" s="303"/>
      <c r="G170" s="303"/>
      <c r="H170" s="334"/>
      <c r="I170" s="68">
        <v>10000</v>
      </c>
      <c r="J170" s="52"/>
      <c r="K170" s="58"/>
      <c r="L170" s="88"/>
    </row>
    <row r="171" spans="2:13" ht="18.75" customHeight="1">
      <c r="B171" s="135">
        <v>7</v>
      </c>
      <c r="C171" s="333" t="s">
        <v>413</v>
      </c>
      <c r="D171" s="303"/>
      <c r="E171" s="303"/>
      <c r="F171" s="303"/>
      <c r="G171" s="303"/>
      <c r="H171" s="334"/>
      <c r="I171" s="68">
        <f>2*27500</f>
        <v>55000</v>
      </c>
      <c r="J171" s="52"/>
      <c r="K171" s="58"/>
      <c r="L171" s="88"/>
    </row>
    <row r="172" spans="2:13" ht="18.75" customHeight="1">
      <c r="B172" s="135">
        <v>8</v>
      </c>
      <c r="C172" s="333" t="s">
        <v>195</v>
      </c>
      <c r="D172" s="303"/>
      <c r="E172" s="303"/>
      <c r="F172" s="303"/>
      <c r="G172" s="303"/>
      <c r="H172" s="334"/>
      <c r="I172" s="68">
        <v>8550</v>
      </c>
      <c r="J172" s="52"/>
      <c r="K172" s="58"/>
      <c r="L172" s="88"/>
    </row>
    <row r="173" spans="2:13">
      <c r="B173" s="135">
        <v>9</v>
      </c>
      <c r="C173" s="333" t="s">
        <v>196</v>
      </c>
      <c r="D173" s="303"/>
      <c r="E173" s="303"/>
      <c r="F173" s="303"/>
      <c r="G173" s="303"/>
      <c r="H173" s="334"/>
      <c r="I173" s="68">
        <v>316790</v>
      </c>
      <c r="J173" s="52"/>
      <c r="K173" s="58"/>
      <c r="L173" s="88"/>
    </row>
    <row r="174" spans="2:13">
      <c r="B174" s="135">
        <v>10</v>
      </c>
      <c r="C174" s="333" t="s">
        <v>411</v>
      </c>
      <c r="D174" s="303"/>
      <c r="E174" s="303"/>
      <c r="F174" s="303"/>
      <c r="G174" s="303"/>
      <c r="H174" s="334"/>
      <c r="I174" s="68">
        <f>6*12*1136.66</f>
        <v>81839.520000000004</v>
      </c>
      <c r="J174" s="97"/>
      <c r="K174" s="58"/>
      <c r="L174" s="88"/>
    </row>
    <row r="175" spans="2:13" ht="37.5" customHeight="1">
      <c r="B175" s="135">
        <v>11</v>
      </c>
      <c r="C175" s="333" t="s">
        <v>414</v>
      </c>
      <c r="D175" s="303"/>
      <c r="E175" s="303"/>
      <c r="F175" s="303"/>
      <c r="G175" s="303"/>
      <c r="H175" s="334"/>
      <c r="I175" s="68">
        <f>8*11500</f>
        <v>92000</v>
      </c>
      <c r="J175" s="52"/>
      <c r="K175" s="58"/>
      <c r="L175" s="88"/>
    </row>
    <row r="176" spans="2:13" ht="37.5" customHeight="1">
      <c r="B176" s="135">
        <v>14</v>
      </c>
      <c r="C176" s="362" t="s">
        <v>410</v>
      </c>
      <c r="D176" s="362"/>
      <c r="E176" s="362"/>
      <c r="F176" s="362"/>
      <c r="G176" s="362"/>
      <c r="H176" s="362"/>
      <c r="I176" s="68">
        <v>1200000</v>
      </c>
      <c r="J176" s="52"/>
      <c r="K176" s="58"/>
      <c r="L176" s="88"/>
    </row>
    <row r="177" spans="2:14" ht="37.5" customHeight="1">
      <c r="B177" s="135">
        <v>15</v>
      </c>
      <c r="C177" s="304" t="s">
        <v>417</v>
      </c>
      <c r="D177" s="305"/>
      <c r="E177" s="305"/>
      <c r="F177" s="305"/>
      <c r="G177" s="305"/>
      <c r="H177" s="363"/>
      <c r="I177" s="68">
        <v>50000</v>
      </c>
      <c r="J177" s="52"/>
      <c r="K177" s="58"/>
      <c r="L177" s="88"/>
    </row>
    <row r="178" spans="2:14" ht="37.5" customHeight="1">
      <c r="B178" s="135">
        <v>16</v>
      </c>
      <c r="C178" s="304" t="s">
        <v>418</v>
      </c>
      <c r="D178" s="305"/>
      <c r="E178" s="305"/>
      <c r="F178" s="305"/>
      <c r="G178" s="305"/>
      <c r="H178" s="363"/>
      <c r="I178" s="68">
        <v>450000</v>
      </c>
      <c r="J178" s="52"/>
      <c r="K178" s="58"/>
      <c r="L178" s="88"/>
    </row>
    <row r="179" spans="2:14" ht="37.5" customHeight="1">
      <c r="B179" s="135">
        <v>17</v>
      </c>
      <c r="C179" s="304" t="s">
        <v>419</v>
      </c>
      <c r="D179" s="305"/>
      <c r="E179" s="305"/>
      <c r="F179" s="305"/>
      <c r="G179" s="305"/>
      <c r="H179" s="363"/>
      <c r="I179" s="68">
        <v>9145.48</v>
      </c>
      <c r="J179" s="52"/>
      <c r="K179" s="58"/>
      <c r="L179" s="88"/>
    </row>
    <row r="180" spans="2:14" ht="37.5" customHeight="1">
      <c r="B180" s="135">
        <v>18</v>
      </c>
      <c r="C180" s="304" t="s">
        <v>420</v>
      </c>
      <c r="D180" s="305"/>
      <c r="E180" s="305"/>
      <c r="F180" s="305"/>
      <c r="G180" s="305"/>
      <c r="H180" s="363"/>
      <c r="I180" s="68">
        <v>65000</v>
      </c>
      <c r="J180" s="52"/>
      <c r="K180" s="58"/>
      <c r="L180" s="88"/>
    </row>
    <row r="181" spans="2:14" ht="37.5" customHeight="1">
      <c r="B181" s="135">
        <v>19</v>
      </c>
      <c r="C181" s="304" t="s">
        <v>421</v>
      </c>
      <c r="D181" s="305"/>
      <c r="E181" s="305"/>
      <c r="F181" s="305"/>
      <c r="G181" s="305"/>
      <c r="H181" s="363"/>
      <c r="I181" s="68">
        <v>122000</v>
      </c>
      <c r="J181" s="52"/>
      <c r="K181" s="58"/>
      <c r="L181" s="88"/>
    </row>
    <row r="182" spans="2:14" ht="37.5" customHeight="1">
      <c r="B182" s="135">
        <v>20</v>
      </c>
      <c r="C182" s="304" t="s">
        <v>422</v>
      </c>
      <c r="D182" s="305"/>
      <c r="E182" s="305"/>
      <c r="F182" s="305"/>
      <c r="G182" s="305"/>
      <c r="H182" s="363"/>
      <c r="I182" s="68">
        <v>15000</v>
      </c>
      <c r="J182" s="52"/>
      <c r="K182" s="58"/>
      <c r="L182" s="88"/>
    </row>
    <row r="183" spans="2:14" ht="37.5" customHeight="1">
      <c r="B183" s="135">
        <v>21</v>
      </c>
      <c r="C183" s="304" t="s">
        <v>423</v>
      </c>
      <c r="D183" s="305"/>
      <c r="E183" s="305"/>
      <c r="F183" s="305"/>
      <c r="G183" s="305"/>
      <c r="H183" s="363"/>
      <c r="I183" s="68">
        <v>16300</v>
      </c>
      <c r="J183" s="52"/>
      <c r="K183" s="58"/>
      <c r="L183" s="88"/>
    </row>
    <row r="184" spans="2:14" ht="37.5" customHeight="1">
      <c r="B184" s="135">
        <v>23</v>
      </c>
      <c r="C184" s="304" t="s">
        <v>430</v>
      </c>
      <c r="D184" s="305"/>
      <c r="E184" s="305"/>
      <c r="F184" s="305"/>
      <c r="G184" s="305"/>
      <c r="H184" s="363"/>
      <c r="I184" s="68">
        <v>283086</v>
      </c>
      <c r="J184" s="52"/>
      <c r="K184" s="58"/>
      <c r="L184" s="88"/>
    </row>
    <row r="185" spans="2:14" ht="37.5" customHeight="1">
      <c r="B185" s="135">
        <v>24</v>
      </c>
      <c r="C185" s="304" t="s">
        <v>431</v>
      </c>
      <c r="D185" s="305"/>
      <c r="E185" s="305"/>
      <c r="F185" s="305"/>
      <c r="G185" s="305"/>
      <c r="H185" s="363"/>
      <c r="I185" s="68">
        <v>29400</v>
      </c>
      <c r="J185" s="52"/>
      <c r="K185" s="58"/>
      <c r="L185" s="88"/>
    </row>
    <row r="186" spans="2:14" s="129" customFormat="1">
      <c r="B186" s="404" t="s">
        <v>140</v>
      </c>
      <c r="C186" s="405"/>
      <c r="D186" s="405"/>
      <c r="E186" s="405"/>
      <c r="F186" s="405"/>
      <c r="G186" s="405"/>
      <c r="H186" s="406"/>
      <c r="I186" s="70">
        <f>SUM(I165:I185)</f>
        <v>3112505.23</v>
      </c>
      <c r="K186" s="132"/>
      <c r="L186" s="128"/>
    </row>
    <row r="187" spans="2:14" s="129" customFormat="1">
      <c r="B187" s="129" t="s">
        <v>127</v>
      </c>
      <c r="I187" s="109">
        <f>J163+I186</f>
        <v>3190505.23</v>
      </c>
      <c r="K187" s="132"/>
      <c r="L187" s="128"/>
    </row>
    <row r="188" spans="2:14" s="129" customFormat="1">
      <c r="I188" s="109"/>
      <c r="K188" s="132"/>
      <c r="L188" s="128"/>
    </row>
    <row r="189" spans="2:14">
      <c r="B189" s="403" t="s">
        <v>328</v>
      </c>
      <c r="C189" s="403"/>
      <c r="D189" s="403"/>
      <c r="E189" s="403"/>
      <c r="F189" s="403"/>
      <c r="G189" s="403"/>
      <c r="H189" s="56"/>
      <c r="I189" s="100">
        <f>I16+I35+I43+I53+I71+H70+I80+I99+G105+G120+J133+J144+J155+J163+I186</f>
        <v>69370470.164880008</v>
      </c>
      <c r="J189" s="100"/>
      <c r="K189" s="112"/>
      <c r="L189" s="88"/>
      <c r="N189" s="97"/>
    </row>
    <row r="190" spans="2:14" ht="15" customHeight="1">
      <c r="B190" s="54"/>
      <c r="C190" s="54"/>
      <c r="D190" s="54"/>
      <c r="E190" s="54"/>
      <c r="F190" s="55"/>
      <c r="G190" s="56"/>
      <c r="H190" s="57"/>
    </row>
    <row r="191" spans="2:14" ht="15" customHeight="1">
      <c r="B191" s="54"/>
      <c r="C191" s="54"/>
      <c r="D191" s="54"/>
      <c r="E191" s="54"/>
      <c r="F191" s="55"/>
      <c r="G191" s="56"/>
      <c r="H191" s="57"/>
    </row>
  </sheetData>
  <mergeCells count="177">
    <mergeCell ref="C135:E135"/>
    <mergeCell ref="C141:E141"/>
    <mergeCell ref="C142:E142"/>
    <mergeCell ref="C137:E137"/>
    <mergeCell ref="C129:E129"/>
    <mergeCell ref="C91:F91"/>
    <mergeCell ref="C108:D108"/>
    <mergeCell ref="B105:F105"/>
    <mergeCell ref="G105:H105"/>
    <mergeCell ref="C86:F86"/>
    <mergeCell ref="C184:H184"/>
    <mergeCell ref="C185:H185"/>
    <mergeCell ref="C175:H175"/>
    <mergeCell ref="G114:H114"/>
    <mergeCell ref="C150:E150"/>
    <mergeCell ref="B144:I144"/>
    <mergeCell ref="B155:I155"/>
    <mergeCell ref="C140:E140"/>
    <mergeCell ref="G162:I162"/>
    <mergeCell ref="C136:E136"/>
    <mergeCell ref="C161:F161"/>
    <mergeCell ref="C162:F162"/>
    <mergeCell ref="C151:E151"/>
    <mergeCell ref="C146:E146"/>
    <mergeCell ref="B163:I163"/>
    <mergeCell ref="G117:H117"/>
    <mergeCell ref="G118:H118"/>
    <mergeCell ref="G119:H119"/>
    <mergeCell ref="C130:E130"/>
    <mergeCell ref="B189:G189"/>
    <mergeCell ref="C95:F95"/>
    <mergeCell ref="B186:H186"/>
    <mergeCell ref="C170:H170"/>
    <mergeCell ref="C171:H171"/>
    <mergeCell ref="C165:H165"/>
    <mergeCell ref="C166:H166"/>
    <mergeCell ref="C167:H167"/>
    <mergeCell ref="C147:E147"/>
    <mergeCell ref="C148:E148"/>
    <mergeCell ref="C149:E149"/>
    <mergeCell ref="C174:H174"/>
    <mergeCell ref="C168:H168"/>
    <mergeCell ref="C169:H169"/>
    <mergeCell ref="G110:H110"/>
    <mergeCell ref="C132:E132"/>
    <mergeCell ref="C96:F96"/>
    <mergeCell ref="C97:F97"/>
    <mergeCell ref="E115:F115"/>
    <mergeCell ref="E114:F114"/>
    <mergeCell ref="E111:F111"/>
    <mergeCell ref="C159:F159"/>
    <mergeCell ref="C160:F160"/>
    <mergeCell ref="G109:H109"/>
    <mergeCell ref="B35:H35"/>
    <mergeCell ref="C31:F31"/>
    <mergeCell ref="C27:F27"/>
    <mergeCell ref="C79:D79"/>
    <mergeCell ref="C74:D74"/>
    <mergeCell ref="C75:D75"/>
    <mergeCell ref="C78:D78"/>
    <mergeCell ref="C76:D77"/>
    <mergeCell ref="B53:H53"/>
    <mergeCell ref="B55:I55"/>
    <mergeCell ref="B56:H56"/>
    <mergeCell ref="B57:I57"/>
    <mergeCell ref="C73:D73"/>
    <mergeCell ref="B43:H43"/>
    <mergeCell ref="C33:F33"/>
    <mergeCell ref="C28:F28"/>
    <mergeCell ref="C29:F29"/>
    <mergeCell ref="C30:F30"/>
    <mergeCell ref="B76:B77"/>
    <mergeCell ref="C24:F24"/>
    <mergeCell ref="C32:F32"/>
    <mergeCell ref="G1:I1"/>
    <mergeCell ref="G2:I2"/>
    <mergeCell ref="C9:I9"/>
    <mergeCell ref="B13:I13"/>
    <mergeCell ref="F15:G15"/>
    <mergeCell ref="B14:E14"/>
    <mergeCell ref="B15:E15"/>
    <mergeCell ref="C19:F19"/>
    <mergeCell ref="B16:E16"/>
    <mergeCell ref="B18:I18"/>
    <mergeCell ref="A5:I5"/>
    <mergeCell ref="A6:I6"/>
    <mergeCell ref="A7:I7"/>
    <mergeCell ref="A8:I8"/>
    <mergeCell ref="C20:F20"/>
    <mergeCell ref="C21:F21"/>
    <mergeCell ref="C22:F22"/>
    <mergeCell ref="C23:F23"/>
    <mergeCell ref="C26:F26"/>
    <mergeCell ref="C131:E131"/>
    <mergeCell ref="B133:I133"/>
    <mergeCell ref="C41:F41"/>
    <mergeCell ref="C42:F42"/>
    <mergeCell ref="C38:F38"/>
    <mergeCell ref="C39:F39"/>
    <mergeCell ref="C85:F85"/>
    <mergeCell ref="C112:D112"/>
    <mergeCell ref="C113:D113"/>
    <mergeCell ref="C114:D114"/>
    <mergeCell ref="C94:F94"/>
    <mergeCell ref="C115:D115"/>
    <mergeCell ref="C116:D116"/>
    <mergeCell ref="E119:F119"/>
    <mergeCell ref="C109:D109"/>
    <mergeCell ref="E113:F113"/>
    <mergeCell ref="E110:F110"/>
    <mergeCell ref="C102:F102"/>
    <mergeCell ref="B99:H99"/>
    <mergeCell ref="G103:H103"/>
    <mergeCell ref="G102:H102"/>
    <mergeCell ref="C111:D111"/>
    <mergeCell ref="C40:F40"/>
    <mergeCell ref="G108:H108"/>
    <mergeCell ref="C117:D117"/>
    <mergeCell ref="C118:D118"/>
    <mergeCell ref="C119:D119"/>
    <mergeCell ref="E109:F109"/>
    <mergeCell ref="E116:F116"/>
    <mergeCell ref="E117:F117"/>
    <mergeCell ref="E118:F118"/>
    <mergeCell ref="C127:E127"/>
    <mergeCell ref="C126:E126"/>
    <mergeCell ref="C125:E125"/>
    <mergeCell ref="E112:F112"/>
    <mergeCell ref="C124:E124"/>
    <mergeCell ref="G115:H115"/>
    <mergeCell ref="G116:H116"/>
    <mergeCell ref="C58:D58"/>
    <mergeCell ref="C59:D59"/>
    <mergeCell ref="C60:D60"/>
    <mergeCell ref="C61:D61"/>
    <mergeCell ref="C62:D62"/>
    <mergeCell ref="C63:D63"/>
    <mergeCell ref="C64:D64"/>
    <mergeCell ref="C104:F104"/>
    <mergeCell ref="C65:D65"/>
    <mergeCell ref="C66:D66"/>
    <mergeCell ref="C68:D68"/>
    <mergeCell ref="C69:D69"/>
    <mergeCell ref="C67:D67"/>
    <mergeCell ref="C110:D110"/>
    <mergeCell ref="G112:H112"/>
    <mergeCell ref="G113:H113"/>
    <mergeCell ref="B80:G80"/>
    <mergeCell ref="C89:F89"/>
    <mergeCell ref="C90:F90"/>
    <mergeCell ref="C87:F87"/>
    <mergeCell ref="C88:F88"/>
    <mergeCell ref="C93:F93"/>
    <mergeCell ref="C181:H181"/>
    <mergeCell ref="C182:H182"/>
    <mergeCell ref="C183:H183"/>
    <mergeCell ref="G104:H104"/>
    <mergeCell ref="C92:F92"/>
    <mergeCell ref="C98:F98"/>
    <mergeCell ref="C176:H176"/>
    <mergeCell ref="C177:H177"/>
    <mergeCell ref="C178:H178"/>
    <mergeCell ref="C179:H179"/>
    <mergeCell ref="C180:H180"/>
    <mergeCell ref="C138:E138"/>
    <mergeCell ref="C139:E139"/>
    <mergeCell ref="C173:H173"/>
    <mergeCell ref="G159:I159"/>
    <mergeCell ref="G161:I161"/>
    <mergeCell ref="G160:I160"/>
    <mergeCell ref="C172:H172"/>
    <mergeCell ref="C154:E154"/>
    <mergeCell ref="C153:E153"/>
    <mergeCell ref="C152:E152"/>
    <mergeCell ref="C143:E143"/>
    <mergeCell ref="G111:H111"/>
    <mergeCell ref="C128:E12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R91"/>
  <sheetViews>
    <sheetView topLeftCell="A76" zoomScaleNormal="100" workbookViewId="0">
      <selection activeCell="L12" sqref="L12"/>
    </sheetView>
  </sheetViews>
  <sheetFormatPr defaultRowHeight="15.75"/>
  <cols>
    <col min="1" max="1" width="6.7109375" style="52" customWidth="1"/>
    <col min="2" max="2" width="9.28515625" style="52" bestFit="1" customWidth="1"/>
    <col min="3" max="3" width="10.85546875" style="52" customWidth="1"/>
    <col min="4" max="4" width="9.140625" style="52"/>
    <col min="5" max="5" width="5.42578125" style="52" customWidth="1"/>
    <col min="6" max="6" width="12.85546875" style="52" customWidth="1"/>
    <col min="7" max="7" width="20.140625" style="52" customWidth="1"/>
    <col min="8" max="8" width="18" style="52" bestFit="1" customWidth="1"/>
    <col min="9" max="11" width="17.85546875" style="52" customWidth="1"/>
    <col min="12" max="12" width="19.42578125" style="52" bestFit="1" customWidth="1"/>
    <col min="13" max="13" width="19.5703125" style="88" bestFit="1" customWidth="1"/>
    <col min="14" max="14" width="15.42578125" style="52" bestFit="1" customWidth="1"/>
    <col min="15" max="15" width="12.42578125" style="52" bestFit="1" customWidth="1"/>
    <col min="16" max="17" width="9.140625" style="52"/>
    <col min="18" max="18" width="11.42578125" style="52" bestFit="1" customWidth="1"/>
    <col min="19" max="258" width="9.140625" style="52"/>
    <col min="259" max="259" width="0.42578125" style="52" customWidth="1"/>
    <col min="260" max="260" width="9.28515625" style="52" bestFit="1" customWidth="1"/>
    <col min="261" max="262" width="9.140625" style="52"/>
    <col min="263" max="263" width="5.42578125" style="52" customWidth="1"/>
    <col min="264" max="264" width="10.7109375" style="52" customWidth="1"/>
    <col min="265" max="265" width="15.140625" style="52" bestFit="1" customWidth="1"/>
    <col min="266" max="267" width="16.140625" style="52" customWidth="1"/>
    <col min="268" max="514" width="9.140625" style="52"/>
    <col min="515" max="515" width="0.42578125" style="52" customWidth="1"/>
    <col min="516" max="516" width="9.28515625" style="52" bestFit="1" customWidth="1"/>
    <col min="517" max="518" width="9.140625" style="52"/>
    <col min="519" max="519" width="5.42578125" style="52" customWidth="1"/>
    <col min="520" max="520" width="10.7109375" style="52" customWidth="1"/>
    <col min="521" max="521" width="15.140625" style="52" bestFit="1" customWidth="1"/>
    <col min="522" max="523" width="16.140625" style="52" customWidth="1"/>
    <col min="524" max="770" width="9.140625" style="52"/>
    <col min="771" max="771" width="0.42578125" style="52" customWidth="1"/>
    <col min="772" max="772" width="9.28515625" style="52" bestFit="1" customWidth="1"/>
    <col min="773" max="774" width="9.140625" style="52"/>
    <col min="775" max="775" width="5.42578125" style="52" customWidth="1"/>
    <col min="776" max="776" width="10.7109375" style="52" customWidth="1"/>
    <col min="777" max="777" width="15.140625" style="52" bestFit="1" customWidth="1"/>
    <col min="778" max="779" width="16.140625" style="52" customWidth="1"/>
    <col min="780" max="1026" width="9.140625" style="52"/>
    <col min="1027" max="1027" width="0.42578125" style="52" customWidth="1"/>
    <col min="1028" max="1028" width="9.28515625" style="52" bestFit="1" customWidth="1"/>
    <col min="1029" max="1030" width="9.140625" style="52"/>
    <col min="1031" max="1031" width="5.42578125" style="52" customWidth="1"/>
    <col min="1032" max="1032" width="10.7109375" style="52" customWidth="1"/>
    <col min="1033" max="1033" width="15.140625" style="52" bestFit="1" customWidth="1"/>
    <col min="1034" max="1035" width="16.140625" style="52" customWidth="1"/>
    <col min="1036" max="1282" width="9.140625" style="52"/>
    <col min="1283" max="1283" width="0.42578125" style="52" customWidth="1"/>
    <col min="1284" max="1284" width="9.28515625" style="52" bestFit="1" customWidth="1"/>
    <col min="1285" max="1286" width="9.140625" style="52"/>
    <col min="1287" max="1287" width="5.42578125" style="52" customWidth="1"/>
    <col min="1288" max="1288" width="10.7109375" style="52" customWidth="1"/>
    <col min="1289" max="1289" width="15.140625" style="52" bestFit="1" customWidth="1"/>
    <col min="1290" max="1291" width="16.140625" style="52" customWidth="1"/>
    <col min="1292" max="1538" width="9.140625" style="52"/>
    <col min="1539" max="1539" width="0.42578125" style="52" customWidth="1"/>
    <col min="1540" max="1540" width="9.28515625" style="52" bestFit="1" customWidth="1"/>
    <col min="1541" max="1542" width="9.140625" style="52"/>
    <col min="1543" max="1543" width="5.42578125" style="52" customWidth="1"/>
    <col min="1544" max="1544" width="10.7109375" style="52" customWidth="1"/>
    <col min="1545" max="1545" width="15.140625" style="52" bestFit="1" customWidth="1"/>
    <col min="1546" max="1547" width="16.140625" style="52" customWidth="1"/>
    <col min="1548" max="1794" width="9.140625" style="52"/>
    <col min="1795" max="1795" width="0.42578125" style="52" customWidth="1"/>
    <col min="1796" max="1796" width="9.28515625" style="52" bestFit="1" customWidth="1"/>
    <col min="1797" max="1798" width="9.140625" style="52"/>
    <col min="1799" max="1799" width="5.42578125" style="52" customWidth="1"/>
    <col min="1800" max="1800" width="10.7109375" style="52" customWidth="1"/>
    <col min="1801" max="1801" width="15.140625" style="52" bestFit="1" customWidth="1"/>
    <col min="1802" max="1803" width="16.140625" style="52" customWidth="1"/>
    <col min="1804" max="2050" width="9.140625" style="52"/>
    <col min="2051" max="2051" width="0.42578125" style="52" customWidth="1"/>
    <col min="2052" max="2052" width="9.28515625" style="52" bestFit="1" customWidth="1"/>
    <col min="2053" max="2054" width="9.140625" style="52"/>
    <col min="2055" max="2055" width="5.42578125" style="52" customWidth="1"/>
    <col min="2056" max="2056" width="10.7109375" style="52" customWidth="1"/>
    <col min="2057" max="2057" width="15.140625" style="52" bestFit="1" customWidth="1"/>
    <col min="2058" max="2059" width="16.140625" style="52" customWidth="1"/>
    <col min="2060" max="2306" width="9.140625" style="52"/>
    <col min="2307" max="2307" width="0.42578125" style="52" customWidth="1"/>
    <col min="2308" max="2308" width="9.28515625" style="52" bestFit="1" customWidth="1"/>
    <col min="2309" max="2310" width="9.140625" style="52"/>
    <col min="2311" max="2311" width="5.42578125" style="52" customWidth="1"/>
    <col min="2312" max="2312" width="10.7109375" style="52" customWidth="1"/>
    <col min="2313" max="2313" width="15.140625" style="52" bestFit="1" customWidth="1"/>
    <col min="2314" max="2315" width="16.140625" style="52" customWidth="1"/>
    <col min="2316" max="2562" width="9.140625" style="52"/>
    <col min="2563" max="2563" width="0.42578125" style="52" customWidth="1"/>
    <col min="2564" max="2564" width="9.28515625" style="52" bestFit="1" customWidth="1"/>
    <col min="2565" max="2566" width="9.140625" style="52"/>
    <col min="2567" max="2567" width="5.42578125" style="52" customWidth="1"/>
    <col min="2568" max="2568" width="10.7109375" style="52" customWidth="1"/>
    <col min="2569" max="2569" width="15.140625" style="52" bestFit="1" customWidth="1"/>
    <col min="2570" max="2571" width="16.140625" style="52" customWidth="1"/>
    <col min="2572" max="2818" width="9.140625" style="52"/>
    <col min="2819" max="2819" width="0.42578125" style="52" customWidth="1"/>
    <col min="2820" max="2820" width="9.28515625" style="52" bestFit="1" customWidth="1"/>
    <col min="2821" max="2822" width="9.140625" style="52"/>
    <col min="2823" max="2823" width="5.42578125" style="52" customWidth="1"/>
    <col min="2824" max="2824" width="10.7109375" style="52" customWidth="1"/>
    <col min="2825" max="2825" width="15.140625" style="52" bestFit="1" customWidth="1"/>
    <col min="2826" max="2827" width="16.140625" style="52" customWidth="1"/>
    <col min="2828" max="3074" width="9.140625" style="52"/>
    <col min="3075" max="3075" width="0.42578125" style="52" customWidth="1"/>
    <col min="3076" max="3076" width="9.28515625" style="52" bestFit="1" customWidth="1"/>
    <col min="3077" max="3078" width="9.140625" style="52"/>
    <col min="3079" max="3079" width="5.42578125" style="52" customWidth="1"/>
    <col min="3080" max="3080" width="10.7109375" style="52" customWidth="1"/>
    <col min="3081" max="3081" width="15.140625" style="52" bestFit="1" customWidth="1"/>
    <col min="3082" max="3083" width="16.140625" style="52" customWidth="1"/>
    <col min="3084" max="3330" width="9.140625" style="52"/>
    <col min="3331" max="3331" width="0.42578125" style="52" customWidth="1"/>
    <col min="3332" max="3332" width="9.28515625" style="52" bestFit="1" customWidth="1"/>
    <col min="3333" max="3334" width="9.140625" style="52"/>
    <col min="3335" max="3335" width="5.42578125" style="52" customWidth="1"/>
    <col min="3336" max="3336" width="10.7109375" style="52" customWidth="1"/>
    <col min="3337" max="3337" width="15.140625" style="52" bestFit="1" customWidth="1"/>
    <col min="3338" max="3339" width="16.140625" style="52" customWidth="1"/>
    <col min="3340" max="3586" width="9.140625" style="52"/>
    <col min="3587" max="3587" width="0.42578125" style="52" customWidth="1"/>
    <col min="3588" max="3588" width="9.28515625" style="52" bestFit="1" customWidth="1"/>
    <col min="3589" max="3590" width="9.140625" style="52"/>
    <col min="3591" max="3591" width="5.42578125" style="52" customWidth="1"/>
    <col min="3592" max="3592" width="10.7109375" style="52" customWidth="1"/>
    <col min="3593" max="3593" width="15.140625" style="52" bestFit="1" customWidth="1"/>
    <col min="3594" max="3595" width="16.140625" style="52" customWidth="1"/>
    <col min="3596" max="3842" width="9.140625" style="52"/>
    <col min="3843" max="3843" width="0.42578125" style="52" customWidth="1"/>
    <col min="3844" max="3844" width="9.28515625" style="52" bestFit="1" customWidth="1"/>
    <col min="3845" max="3846" width="9.140625" style="52"/>
    <col min="3847" max="3847" width="5.42578125" style="52" customWidth="1"/>
    <col min="3848" max="3848" width="10.7109375" style="52" customWidth="1"/>
    <col min="3849" max="3849" width="15.140625" style="52" bestFit="1" customWidth="1"/>
    <col min="3850" max="3851" width="16.140625" style="52" customWidth="1"/>
    <col min="3852" max="4098" width="9.140625" style="52"/>
    <col min="4099" max="4099" width="0.42578125" style="52" customWidth="1"/>
    <col min="4100" max="4100" width="9.28515625" style="52" bestFit="1" customWidth="1"/>
    <col min="4101" max="4102" width="9.140625" style="52"/>
    <col min="4103" max="4103" width="5.42578125" style="52" customWidth="1"/>
    <col min="4104" max="4104" width="10.7109375" style="52" customWidth="1"/>
    <col min="4105" max="4105" width="15.140625" style="52" bestFit="1" customWidth="1"/>
    <col min="4106" max="4107" width="16.140625" style="52" customWidth="1"/>
    <col min="4108" max="4354" width="9.140625" style="52"/>
    <col min="4355" max="4355" width="0.42578125" style="52" customWidth="1"/>
    <col min="4356" max="4356" width="9.28515625" style="52" bestFit="1" customWidth="1"/>
    <col min="4357" max="4358" width="9.140625" style="52"/>
    <col min="4359" max="4359" width="5.42578125" style="52" customWidth="1"/>
    <col min="4360" max="4360" width="10.7109375" style="52" customWidth="1"/>
    <col min="4361" max="4361" width="15.140625" style="52" bestFit="1" customWidth="1"/>
    <col min="4362" max="4363" width="16.140625" style="52" customWidth="1"/>
    <col min="4364" max="4610" width="9.140625" style="52"/>
    <col min="4611" max="4611" width="0.42578125" style="52" customWidth="1"/>
    <col min="4612" max="4612" width="9.28515625" style="52" bestFit="1" customWidth="1"/>
    <col min="4613" max="4614" width="9.140625" style="52"/>
    <col min="4615" max="4615" width="5.42578125" style="52" customWidth="1"/>
    <col min="4616" max="4616" width="10.7109375" style="52" customWidth="1"/>
    <col min="4617" max="4617" width="15.140625" style="52" bestFit="1" customWidth="1"/>
    <col min="4618" max="4619" width="16.140625" style="52" customWidth="1"/>
    <col min="4620" max="4866" width="9.140625" style="52"/>
    <col min="4867" max="4867" width="0.42578125" style="52" customWidth="1"/>
    <col min="4868" max="4868" width="9.28515625" style="52" bestFit="1" customWidth="1"/>
    <col min="4869" max="4870" width="9.140625" style="52"/>
    <col min="4871" max="4871" width="5.42578125" style="52" customWidth="1"/>
    <col min="4872" max="4872" width="10.7109375" style="52" customWidth="1"/>
    <col min="4873" max="4873" width="15.140625" style="52" bestFit="1" customWidth="1"/>
    <col min="4874" max="4875" width="16.140625" style="52" customWidth="1"/>
    <col min="4876" max="5122" width="9.140625" style="52"/>
    <col min="5123" max="5123" width="0.42578125" style="52" customWidth="1"/>
    <col min="5124" max="5124" width="9.28515625" style="52" bestFit="1" customWidth="1"/>
    <col min="5125" max="5126" width="9.140625" style="52"/>
    <col min="5127" max="5127" width="5.42578125" style="52" customWidth="1"/>
    <col min="5128" max="5128" width="10.7109375" style="52" customWidth="1"/>
    <col min="5129" max="5129" width="15.140625" style="52" bestFit="1" customWidth="1"/>
    <col min="5130" max="5131" width="16.140625" style="52" customWidth="1"/>
    <col min="5132" max="5378" width="9.140625" style="52"/>
    <col min="5379" max="5379" width="0.42578125" style="52" customWidth="1"/>
    <col min="5380" max="5380" width="9.28515625" style="52" bestFit="1" customWidth="1"/>
    <col min="5381" max="5382" width="9.140625" style="52"/>
    <col min="5383" max="5383" width="5.42578125" style="52" customWidth="1"/>
    <col min="5384" max="5384" width="10.7109375" style="52" customWidth="1"/>
    <col min="5385" max="5385" width="15.140625" style="52" bestFit="1" customWidth="1"/>
    <col min="5386" max="5387" width="16.140625" style="52" customWidth="1"/>
    <col min="5388" max="5634" width="9.140625" style="52"/>
    <col min="5635" max="5635" width="0.42578125" style="52" customWidth="1"/>
    <col min="5636" max="5636" width="9.28515625" style="52" bestFit="1" customWidth="1"/>
    <col min="5637" max="5638" width="9.140625" style="52"/>
    <col min="5639" max="5639" width="5.42578125" style="52" customWidth="1"/>
    <col min="5640" max="5640" width="10.7109375" style="52" customWidth="1"/>
    <col min="5641" max="5641" width="15.140625" style="52" bestFit="1" customWidth="1"/>
    <col min="5642" max="5643" width="16.140625" style="52" customWidth="1"/>
    <col min="5644" max="5890" width="9.140625" style="52"/>
    <col min="5891" max="5891" width="0.42578125" style="52" customWidth="1"/>
    <col min="5892" max="5892" width="9.28515625" style="52" bestFit="1" customWidth="1"/>
    <col min="5893" max="5894" width="9.140625" style="52"/>
    <col min="5895" max="5895" width="5.42578125" style="52" customWidth="1"/>
    <col min="5896" max="5896" width="10.7109375" style="52" customWidth="1"/>
    <col min="5897" max="5897" width="15.140625" style="52" bestFit="1" customWidth="1"/>
    <col min="5898" max="5899" width="16.140625" style="52" customWidth="1"/>
    <col min="5900" max="6146" width="9.140625" style="52"/>
    <col min="6147" max="6147" width="0.42578125" style="52" customWidth="1"/>
    <col min="6148" max="6148" width="9.28515625" style="52" bestFit="1" customWidth="1"/>
    <col min="6149" max="6150" width="9.140625" style="52"/>
    <col min="6151" max="6151" width="5.42578125" style="52" customWidth="1"/>
    <col min="6152" max="6152" width="10.7109375" style="52" customWidth="1"/>
    <col min="6153" max="6153" width="15.140625" style="52" bestFit="1" customWidth="1"/>
    <col min="6154" max="6155" width="16.140625" style="52" customWidth="1"/>
    <col min="6156" max="6402" width="9.140625" style="52"/>
    <col min="6403" max="6403" width="0.42578125" style="52" customWidth="1"/>
    <col min="6404" max="6404" width="9.28515625" style="52" bestFit="1" customWidth="1"/>
    <col min="6405" max="6406" width="9.140625" style="52"/>
    <col min="6407" max="6407" width="5.42578125" style="52" customWidth="1"/>
    <col min="6408" max="6408" width="10.7109375" style="52" customWidth="1"/>
    <col min="6409" max="6409" width="15.140625" style="52" bestFit="1" customWidth="1"/>
    <col min="6410" max="6411" width="16.140625" style="52" customWidth="1"/>
    <col min="6412" max="6658" width="9.140625" style="52"/>
    <col min="6659" max="6659" width="0.42578125" style="52" customWidth="1"/>
    <col min="6660" max="6660" width="9.28515625" style="52" bestFit="1" customWidth="1"/>
    <col min="6661" max="6662" width="9.140625" style="52"/>
    <col min="6663" max="6663" width="5.42578125" style="52" customWidth="1"/>
    <col min="6664" max="6664" width="10.7109375" style="52" customWidth="1"/>
    <col min="6665" max="6665" width="15.140625" style="52" bestFit="1" customWidth="1"/>
    <col min="6666" max="6667" width="16.140625" style="52" customWidth="1"/>
    <col min="6668" max="6914" width="9.140625" style="52"/>
    <col min="6915" max="6915" width="0.42578125" style="52" customWidth="1"/>
    <col min="6916" max="6916" width="9.28515625" style="52" bestFit="1" customWidth="1"/>
    <col min="6917" max="6918" width="9.140625" style="52"/>
    <col min="6919" max="6919" width="5.42578125" style="52" customWidth="1"/>
    <col min="6920" max="6920" width="10.7109375" style="52" customWidth="1"/>
    <col min="6921" max="6921" width="15.140625" style="52" bestFit="1" customWidth="1"/>
    <col min="6922" max="6923" width="16.140625" style="52" customWidth="1"/>
    <col min="6924" max="7170" width="9.140625" style="52"/>
    <col min="7171" max="7171" width="0.42578125" style="52" customWidth="1"/>
    <col min="7172" max="7172" width="9.28515625" style="52" bestFit="1" customWidth="1"/>
    <col min="7173" max="7174" width="9.140625" style="52"/>
    <col min="7175" max="7175" width="5.42578125" style="52" customWidth="1"/>
    <col min="7176" max="7176" width="10.7109375" style="52" customWidth="1"/>
    <col min="7177" max="7177" width="15.140625" style="52" bestFit="1" customWidth="1"/>
    <col min="7178" max="7179" width="16.140625" style="52" customWidth="1"/>
    <col min="7180" max="7426" width="9.140625" style="52"/>
    <col min="7427" max="7427" width="0.42578125" style="52" customWidth="1"/>
    <col min="7428" max="7428" width="9.28515625" style="52" bestFit="1" customWidth="1"/>
    <col min="7429" max="7430" width="9.140625" style="52"/>
    <col min="7431" max="7431" width="5.42578125" style="52" customWidth="1"/>
    <col min="7432" max="7432" width="10.7109375" style="52" customWidth="1"/>
    <col min="7433" max="7433" width="15.140625" style="52" bestFit="1" customWidth="1"/>
    <col min="7434" max="7435" width="16.140625" style="52" customWidth="1"/>
    <col min="7436" max="7682" width="9.140625" style="52"/>
    <col min="7683" max="7683" width="0.42578125" style="52" customWidth="1"/>
    <col min="7684" max="7684" width="9.28515625" style="52" bestFit="1" customWidth="1"/>
    <col min="7685" max="7686" width="9.140625" style="52"/>
    <col min="7687" max="7687" width="5.42578125" style="52" customWidth="1"/>
    <col min="7688" max="7688" width="10.7109375" style="52" customWidth="1"/>
    <col min="7689" max="7689" width="15.140625" style="52" bestFit="1" customWidth="1"/>
    <col min="7690" max="7691" width="16.140625" style="52" customWidth="1"/>
    <col min="7692" max="7938" width="9.140625" style="52"/>
    <col min="7939" max="7939" width="0.42578125" style="52" customWidth="1"/>
    <col min="7940" max="7940" width="9.28515625" style="52" bestFit="1" customWidth="1"/>
    <col min="7941" max="7942" width="9.140625" style="52"/>
    <col min="7943" max="7943" width="5.42578125" style="52" customWidth="1"/>
    <col min="7944" max="7944" width="10.7109375" style="52" customWidth="1"/>
    <col min="7945" max="7945" width="15.140625" style="52" bestFit="1" customWidth="1"/>
    <col min="7946" max="7947" width="16.140625" style="52" customWidth="1"/>
    <col min="7948" max="8194" width="9.140625" style="52"/>
    <col min="8195" max="8195" width="0.42578125" style="52" customWidth="1"/>
    <col min="8196" max="8196" width="9.28515625" style="52" bestFit="1" customWidth="1"/>
    <col min="8197" max="8198" width="9.140625" style="52"/>
    <col min="8199" max="8199" width="5.42578125" style="52" customWidth="1"/>
    <col min="8200" max="8200" width="10.7109375" style="52" customWidth="1"/>
    <col min="8201" max="8201" width="15.140625" style="52" bestFit="1" customWidth="1"/>
    <col min="8202" max="8203" width="16.140625" style="52" customWidth="1"/>
    <col min="8204" max="8450" width="9.140625" style="52"/>
    <col min="8451" max="8451" width="0.42578125" style="52" customWidth="1"/>
    <col min="8452" max="8452" width="9.28515625" style="52" bestFit="1" customWidth="1"/>
    <col min="8453" max="8454" width="9.140625" style="52"/>
    <col min="8455" max="8455" width="5.42578125" style="52" customWidth="1"/>
    <col min="8456" max="8456" width="10.7109375" style="52" customWidth="1"/>
    <col min="8457" max="8457" width="15.140625" style="52" bestFit="1" customWidth="1"/>
    <col min="8458" max="8459" width="16.140625" style="52" customWidth="1"/>
    <col min="8460" max="8706" width="9.140625" style="52"/>
    <col min="8707" max="8707" width="0.42578125" style="52" customWidth="1"/>
    <col min="8708" max="8708" width="9.28515625" style="52" bestFit="1" customWidth="1"/>
    <col min="8709" max="8710" width="9.140625" style="52"/>
    <col min="8711" max="8711" width="5.42578125" style="52" customWidth="1"/>
    <col min="8712" max="8712" width="10.7109375" style="52" customWidth="1"/>
    <col min="8713" max="8713" width="15.140625" style="52" bestFit="1" customWidth="1"/>
    <col min="8714" max="8715" width="16.140625" style="52" customWidth="1"/>
    <col min="8716" max="8962" width="9.140625" style="52"/>
    <col min="8963" max="8963" width="0.42578125" style="52" customWidth="1"/>
    <col min="8964" max="8964" width="9.28515625" style="52" bestFit="1" customWidth="1"/>
    <col min="8965" max="8966" width="9.140625" style="52"/>
    <col min="8967" max="8967" width="5.42578125" style="52" customWidth="1"/>
    <col min="8968" max="8968" width="10.7109375" style="52" customWidth="1"/>
    <col min="8969" max="8969" width="15.140625" style="52" bestFit="1" customWidth="1"/>
    <col min="8970" max="8971" width="16.140625" style="52" customWidth="1"/>
    <col min="8972" max="9218" width="9.140625" style="52"/>
    <col min="9219" max="9219" width="0.42578125" style="52" customWidth="1"/>
    <col min="9220" max="9220" width="9.28515625" style="52" bestFit="1" customWidth="1"/>
    <col min="9221" max="9222" width="9.140625" style="52"/>
    <col min="9223" max="9223" width="5.42578125" style="52" customWidth="1"/>
    <col min="9224" max="9224" width="10.7109375" style="52" customWidth="1"/>
    <col min="9225" max="9225" width="15.140625" style="52" bestFit="1" customWidth="1"/>
    <col min="9226" max="9227" width="16.140625" style="52" customWidth="1"/>
    <col min="9228" max="9474" width="9.140625" style="52"/>
    <col min="9475" max="9475" width="0.42578125" style="52" customWidth="1"/>
    <col min="9476" max="9476" width="9.28515625" style="52" bestFit="1" customWidth="1"/>
    <col min="9477" max="9478" width="9.140625" style="52"/>
    <col min="9479" max="9479" width="5.42578125" style="52" customWidth="1"/>
    <col min="9480" max="9480" width="10.7109375" style="52" customWidth="1"/>
    <col min="9481" max="9481" width="15.140625" style="52" bestFit="1" customWidth="1"/>
    <col min="9482" max="9483" width="16.140625" style="52" customWidth="1"/>
    <col min="9484" max="9730" width="9.140625" style="52"/>
    <col min="9731" max="9731" width="0.42578125" style="52" customWidth="1"/>
    <col min="9732" max="9732" width="9.28515625" style="52" bestFit="1" customWidth="1"/>
    <col min="9733" max="9734" width="9.140625" style="52"/>
    <col min="9735" max="9735" width="5.42578125" style="52" customWidth="1"/>
    <col min="9736" max="9736" width="10.7109375" style="52" customWidth="1"/>
    <col min="9737" max="9737" width="15.140625" style="52" bestFit="1" customWidth="1"/>
    <col min="9738" max="9739" width="16.140625" style="52" customWidth="1"/>
    <col min="9740" max="9986" width="9.140625" style="52"/>
    <col min="9987" max="9987" width="0.42578125" style="52" customWidth="1"/>
    <col min="9988" max="9988" width="9.28515625" style="52" bestFit="1" customWidth="1"/>
    <col min="9989" max="9990" width="9.140625" style="52"/>
    <col min="9991" max="9991" width="5.42578125" style="52" customWidth="1"/>
    <col min="9992" max="9992" width="10.7109375" style="52" customWidth="1"/>
    <col min="9993" max="9993" width="15.140625" style="52" bestFit="1" customWidth="1"/>
    <col min="9994" max="9995" width="16.140625" style="52" customWidth="1"/>
    <col min="9996" max="10242" width="9.140625" style="52"/>
    <col min="10243" max="10243" width="0.42578125" style="52" customWidth="1"/>
    <col min="10244" max="10244" width="9.28515625" style="52" bestFit="1" customWidth="1"/>
    <col min="10245" max="10246" width="9.140625" style="52"/>
    <col min="10247" max="10247" width="5.42578125" style="52" customWidth="1"/>
    <col min="10248" max="10248" width="10.7109375" style="52" customWidth="1"/>
    <col min="10249" max="10249" width="15.140625" style="52" bestFit="1" customWidth="1"/>
    <col min="10250" max="10251" width="16.140625" style="52" customWidth="1"/>
    <col min="10252" max="10498" width="9.140625" style="52"/>
    <col min="10499" max="10499" width="0.42578125" style="52" customWidth="1"/>
    <col min="10500" max="10500" width="9.28515625" style="52" bestFit="1" customWidth="1"/>
    <col min="10501" max="10502" width="9.140625" style="52"/>
    <col min="10503" max="10503" width="5.42578125" style="52" customWidth="1"/>
    <col min="10504" max="10504" width="10.7109375" style="52" customWidth="1"/>
    <col min="10505" max="10505" width="15.140625" style="52" bestFit="1" customWidth="1"/>
    <col min="10506" max="10507" width="16.140625" style="52" customWidth="1"/>
    <col min="10508" max="10754" width="9.140625" style="52"/>
    <col min="10755" max="10755" width="0.42578125" style="52" customWidth="1"/>
    <col min="10756" max="10756" width="9.28515625" style="52" bestFit="1" customWidth="1"/>
    <col min="10757" max="10758" width="9.140625" style="52"/>
    <col min="10759" max="10759" width="5.42578125" style="52" customWidth="1"/>
    <col min="10760" max="10760" width="10.7109375" style="52" customWidth="1"/>
    <col min="10761" max="10761" width="15.140625" style="52" bestFit="1" customWidth="1"/>
    <col min="10762" max="10763" width="16.140625" style="52" customWidth="1"/>
    <col min="10764" max="11010" width="9.140625" style="52"/>
    <col min="11011" max="11011" width="0.42578125" style="52" customWidth="1"/>
    <col min="11012" max="11012" width="9.28515625" style="52" bestFit="1" customWidth="1"/>
    <col min="11013" max="11014" width="9.140625" style="52"/>
    <col min="11015" max="11015" width="5.42578125" style="52" customWidth="1"/>
    <col min="11016" max="11016" width="10.7109375" style="52" customWidth="1"/>
    <col min="11017" max="11017" width="15.140625" style="52" bestFit="1" customWidth="1"/>
    <col min="11018" max="11019" width="16.140625" style="52" customWidth="1"/>
    <col min="11020" max="11266" width="9.140625" style="52"/>
    <col min="11267" max="11267" width="0.42578125" style="52" customWidth="1"/>
    <col min="11268" max="11268" width="9.28515625" style="52" bestFit="1" customWidth="1"/>
    <col min="11269" max="11270" width="9.140625" style="52"/>
    <col min="11271" max="11271" width="5.42578125" style="52" customWidth="1"/>
    <col min="11272" max="11272" width="10.7109375" style="52" customWidth="1"/>
    <col min="11273" max="11273" width="15.140625" style="52" bestFit="1" customWidth="1"/>
    <col min="11274" max="11275" width="16.140625" style="52" customWidth="1"/>
    <col min="11276" max="11522" width="9.140625" style="52"/>
    <col min="11523" max="11523" width="0.42578125" style="52" customWidth="1"/>
    <col min="11524" max="11524" width="9.28515625" style="52" bestFit="1" customWidth="1"/>
    <col min="11525" max="11526" width="9.140625" style="52"/>
    <col min="11527" max="11527" width="5.42578125" style="52" customWidth="1"/>
    <col min="11528" max="11528" width="10.7109375" style="52" customWidth="1"/>
    <col min="11529" max="11529" width="15.140625" style="52" bestFit="1" customWidth="1"/>
    <col min="11530" max="11531" width="16.140625" style="52" customWidth="1"/>
    <col min="11532" max="11778" width="9.140625" style="52"/>
    <col min="11779" max="11779" width="0.42578125" style="52" customWidth="1"/>
    <col min="11780" max="11780" width="9.28515625" style="52" bestFit="1" customWidth="1"/>
    <col min="11781" max="11782" width="9.140625" style="52"/>
    <col min="11783" max="11783" width="5.42578125" style="52" customWidth="1"/>
    <col min="11784" max="11784" width="10.7109375" style="52" customWidth="1"/>
    <col min="11785" max="11785" width="15.140625" style="52" bestFit="1" customWidth="1"/>
    <col min="11786" max="11787" width="16.140625" style="52" customWidth="1"/>
    <col min="11788" max="12034" width="9.140625" style="52"/>
    <col min="12035" max="12035" width="0.42578125" style="52" customWidth="1"/>
    <col min="12036" max="12036" width="9.28515625" style="52" bestFit="1" customWidth="1"/>
    <col min="12037" max="12038" width="9.140625" style="52"/>
    <col min="12039" max="12039" width="5.42578125" style="52" customWidth="1"/>
    <col min="12040" max="12040" width="10.7109375" style="52" customWidth="1"/>
    <col min="12041" max="12041" width="15.140625" style="52" bestFit="1" customWidth="1"/>
    <col min="12042" max="12043" width="16.140625" style="52" customWidth="1"/>
    <col min="12044" max="12290" width="9.140625" style="52"/>
    <col min="12291" max="12291" width="0.42578125" style="52" customWidth="1"/>
    <col min="12292" max="12292" width="9.28515625" style="52" bestFit="1" customWidth="1"/>
    <col min="12293" max="12294" width="9.140625" style="52"/>
    <col min="12295" max="12295" width="5.42578125" style="52" customWidth="1"/>
    <col min="12296" max="12296" width="10.7109375" style="52" customWidth="1"/>
    <col min="12297" max="12297" width="15.140625" style="52" bestFit="1" customWidth="1"/>
    <col min="12298" max="12299" width="16.140625" style="52" customWidth="1"/>
    <col min="12300" max="12546" width="9.140625" style="52"/>
    <col min="12547" max="12547" width="0.42578125" style="52" customWidth="1"/>
    <col min="12548" max="12548" width="9.28515625" style="52" bestFit="1" customWidth="1"/>
    <col min="12549" max="12550" width="9.140625" style="52"/>
    <col min="12551" max="12551" width="5.42578125" style="52" customWidth="1"/>
    <col min="12552" max="12552" width="10.7109375" style="52" customWidth="1"/>
    <col min="12553" max="12553" width="15.140625" style="52" bestFit="1" customWidth="1"/>
    <col min="12554" max="12555" width="16.140625" style="52" customWidth="1"/>
    <col min="12556" max="12802" width="9.140625" style="52"/>
    <col min="12803" max="12803" width="0.42578125" style="52" customWidth="1"/>
    <col min="12804" max="12804" width="9.28515625" style="52" bestFit="1" customWidth="1"/>
    <col min="12805" max="12806" width="9.140625" style="52"/>
    <col min="12807" max="12807" width="5.42578125" style="52" customWidth="1"/>
    <col min="12808" max="12808" width="10.7109375" style="52" customWidth="1"/>
    <col min="12809" max="12809" width="15.140625" style="52" bestFit="1" customWidth="1"/>
    <col min="12810" max="12811" width="16.140625" style="52" customWidth="1"/>
    <col min="12812" max="13058" width="9.140625" style="52"/>
    <col min="13059" max="13059" width="0.42578125" style="52" customWidth="1"/>
    <col min="13060" max="13060" width="9.28515625" style="52" bestFit="1" customWidth="1"/>
    <col min="13061" max="13062" width="9.140625" style="52"/>
    <col min="13063" max="13063" width="5.42578125" style="52" customWidth="1"/>
    <col min="13064" max="13064" width="10.7109375" style="52" customWidth="1"/>
    <col min="13065" max="13065" width="15.140625" style="52" bestFit="1" customWidth="1"/>
    <col min="13066" max="13067" width="16.140625" style="52" customWidth="1"/>
    <col min="13068" max="13314" width="9.140625" style="52"/>
    <col min="13315" max="13315" width="0.42578125" style="52" customWidth="1"/>
    <col min="13316" max="13316" width="9.28515625" style="52" bestFit="1" customWidth="1"/>
    <col min="13317" max="13318" width="9.140625" style="52"/>
    <col min="13319" max="13319" width="5.42578125" style="52" customWidth="1"/>
    <col min="13320" max="13320" width="10.7109375" style="52" customWidth="1"/>
    <col min="13321" max="13321" width="15.140625" style="52" bestFit="1" customWidth="1"/>
    <col min="13322" max="13323" width="16.140625" style="52" customWidth="1"/>
    <col min="13324" max="13570" width="9.140625" style="52"/>
    <col min="13571" max="13571" width="0.42578125" style="52" customWidth="1"/>
    <col min="13572" max="13572" width="9.28515625" style="52" bestFit="1" customWidth="1"/>
    <col min="13573" max="13574" width="9.140625" style="52"/>
    <col min="13575" max="13575" width="5.42578125" style="52" customWidth="1"/>
    <col min="13576" max="13576" width="10.7109375" style="52" customWidth="1"/>
    <col min="13577" max="13577" width="15.140625" style="52" bestFit="1" customWidth="1"/>
    <col min="13578" max="13579" width="16.140625" style="52" customWidth="1"/>
    <col min="13580" max="13826" width="9.140625" style="52"/>
    <col min="13827" max="13827" width="0.42578125" style="52" customWidth="1"/>
    <col min="13828" max="13828" width="9.28515625" style="52" bestFit="1" customWidth="1"/>
    <col min="13829" max="13830" width="9.140625" style="52"/>
    <col min="13831" max="13831" width="5.42578125" style="52" customWidth="1"/>
    <col min="13832" max="13832" width="10.7109375" style="52" customWidth="1"/>
    <col min="13833" max="13833" width="15.140625" style="52" bestFit="1" customWidth="1"/>
    <col min="13834" max="13835" width="16.140625" style="52" customWidth="1"/>
    <col min="13836" max="14082" width="9.140625" style="52"/>
    <col min="14083" max="14083" width="0.42578125" style="52" customWidth="1"/>
    <col min="14084" max="14084" width="9.28515625" style="52" bestFit="1" customWidth="1"/>
    <col min="14085" max="14086" width="9.140625" style="52"/>
    <col min="14087" max="14087" width="5.42578125" style="52" customWidth="1"/>
    <col min="14088" max="14088" width="10.7109375" style="52" customWidth="1"/>
    <col min="14089" max="14089" width="15.140625" style="52" bestFit="1" customWidth="1"/>
    <col min="14090" max="14091" width="16.140625" style="52" customWidth="1"/>
    <col min="14092" max="14338" width="9.140625" style="52"/>
    <col min="14339" max="14339" width="0.42578125" style="52" customWidth="1"/>
    <col min="14340" max="14340" width="9.28515625" style="52" bestFit="1" customWidth="1"/>
    <col min="14341" max="14342" width="9.140625" style="52"/>
    <col min="14343" max="14343" width="5.42578125" style="52" customWidth="1"/>
    <col min="14344" max="14344" width="10.7109375" style="52" customWidth="1"/>
    <col min="14345" max="14345" width="15.140625" style="52" bestFit="1" customWidth="1"/>
    <col min="14346" max="14347" width="16.140625" style="52" customWidth="1"/>
    <col min="14348" max="14594" width="9.140625" style="52"/>
    <col min="14595" max="14595" width="0.42578125" style="52" customWidth="1"/>
    <col min="14596" max="14596" width="9.28515625" style="52" bestFit="1" customWidth="1"/>
    <col min="14597" max="14598" width="9.140625" style="52"/>
    <col min="14599" max="14599" width="5.42578125" style="52" customWidth="1"/>
    <col min="14600" max="14600" width="10.7109375" style="52" customWidth="1"/>
    <col min="14601" max="14601" width="15.140625" style="52" bestFit="1" customWidth="1"/>
    <col min="14602" max="14603" width="16.140625" style="52" customWidth="1"/>
    <col min="14604" max="14850" width="9.140625" style="52"/>
    <col min="14851" max="14851" width="0.42578125" style="52" customWidth="1"/>
    <col min="14852" max="14852" width="9.28515625" style="52" bestFit="1" customWidth="1"/>
    <col min="14853" max="14854" width="9.140625" style="52"/>
    <col min="14855" max="14855" width="5.42578125" style="52" customWidth="1"/>
    <col min="14856" max="14856" width="10.7109375" style="52" customWidth="1"/>
    <col min="14857" max="14857" width="15.140625" style="52" bestFit="1" customWidth="1"/>
    <col min="14858" max="14859" width="16.140625" style="52" customWidth="1"/>
    <col min="14860" max="15106" width="9.140625" style="52"/>
    <col min="15107" max="15107" width="0.42578125" style="52" customWidth="1"/>
    <col min="15108" max="15108" width="9.28515625" style="52" bestFit="1" customWidth="1"/>
    <col min="15109" max="15110" width="9.140625" style="52"/>
    <col min="15111" max="15111" width="5.42578125" style="52" customWidth="1"/>
    <col min="15112" max="15112" width="10.7109375" style="52" customWidth="1"/>
    <col min="15113" max="15113" width="15.140625" style="52" bestFit="1" customWidth="1"/>
    <col min="15114" max="15115" width="16.140625" style="52" customWidth="1"/>
    <col min="15116" max="15362" width="9.140625" style="52"/>
    <col min="15363" max="15363" width="0.42578125" style="52" customWidth="1"/>
    <col min="15364" max="15364" width="9.28515625" style="52" bestFit="1" customWidth="1"/>
    <col min="15365" max="15366" width="9.140625" style="52"/>
    <col min="15367" max="15367" width="5.42578125" style="52" customWidth="1"/>
    <col min="15368" max="15368" width="10.7109375" style="52" customWidth="1"/>
    <col min="15369" max="15369" width="15.140625" style="52" bestFit="1" customWidth="1"/>
    <col min="15370" max="15371" width="16.140625" style="52" customWidth="1"/>
    <col min="15372" max="15618" width="9.140625" style="52"/>
    <col min="15619" max="15619" width="0.42578125" style="52" customWidth="1"/>
    <col min="15620" max="15620" width="9.28515625" style="52" bestFit="1" customWidth="1"/>
    <col min="15621" max="15622" width="9.140625" style="52"/>
    <col min="15623" max="15623" width="5.42578125" style="52" customWidth="1"/>
    <col min="15624" max="15624" width="10.7109375" style="52" customWidth="1"/>
    <col min="15625" max="15625" width="15.140625" style="52" bestFit="1" customWidth="1"/>
    <col min="15626" max="15627" width="16.140625" style="52" customWidth="1"/>
    <col min="15628" max="15874" width="9.140625" style="52"/>
    <col min="15875" max="15875" width="0.42578125" style="52" customWidth="1"/>
    <col min="15876" max="15876" width="9.28515625" style="52" bestFit="1" customWidth="1"/>
    <col min="15877" max="15878" width="9.140625" style="52"/>
    <col min="15879" max="15879" width="5.42578125" style="52" customWidth="1"/>
    <col min="15880" max="15880" width="10.7109375" style="52" customWidth="1"/>
    <col min="15881" max="15881" width="15.140625" style="52" bestFit="1" customWidth="1"/>
    <col min="15882" max="15883" width="16.140625" style="52" customWidth="1"/>
    <col min="15884" max="16130" width="9.140625" style="52"/>
    <col min="16131" max="16131" width="0.42578125" style="52" customWidth="1"/>
    <col min="16132" max="16132" width="9.28515625" style="52" bestFit="1" customWidth="1"/>
    <col min="16133" max="16134" width="9.140625" style="52"/>
    <col min="16135" max="16135" width="5.42578125" style="52" customWidth="1"/>
    <col min="16136" max="16136" width="10.7109375" style="52" customWidth="1"/>
    <col min="16137" max="16137" width="15.140625" style="52" bestFit="1" customWidth="1"/>
    <col min="16138" max="16139" width="16.140625" style="52" customWidth="1"/>
    <col min="16140" max="16384" width="9.140625" style="52"/>
  </cols>
  <sheetData>
    <row r="1" spans="1:18">
      <c r="G1" s="315" t="s">
        <v>111</v>
      </c>
      <c r="H1" s="316"/>
      <c r="I1" s="316"/>
      <c r="J1" s="168"/>
      <c r="K1" s="168"/>
    </row>
    <row r="2" spans="1:18">
      <c r="G2" s="315"/>
      <c r="H2" s="315"/>
      <c r="I2" s="315"/>
      <c r="J2" s="167"/>
      <c r="K2" s="167"/>
    </row>
    <row r="3" spans="1:18">
      <c r="A3" s="322" t="s">
        <v>112</v>
      </c>
      <c r="B3" s="322"/>
      <c r="C3" s="322"/>
      <c r="D3" s="322"/>
      <c r="E3" s="322"/>
      <c r="F3" s="322"/>
      <c r="G3" s="322"/>
      <c r="H3" s="322"/>
      <c r="I3" s="322"/>
      <c r="J3" s="169"/>
      <c r="K3" s="169"/>
      <c r="L3" s="169"/>
    </row>
    <row r="4" spans="1:18">
      <c r="A4" s="322" t="s">
        <v>113</v>
      </c>
      <c r="B4" s="322"/>
      <c r="C4" s="322"/>
      <c r="D4" s="322"/>
      <c r="E4" s="322"/>
      <c r="F4" s="322"/>
      <c r="G4" s="322"/>
      <c r="H4" s="322"/>
      <c r="I4" s="322"/>
      <c r="J4" s="169"/>
      <c r="K4" s="169"/>
      <c r="L4" s="169"/>
    </row>
    <row r="5" spans="1:18">
      <c r="A5" s="323" t="s">
        <v>160</v>
      </c>
      <c r="B5" s="323"/>
      <c r="C5" s="323"/>
      <c r="D5" s="323"/>
      <c r="E5" s="323"/>
      <c r="F5" s="323"/>
      <c r="G5" s="323"/>
      <c r="H5" s="323"/>
      <c r="I5" s="323"/>
      <c r="J5" s="170"/>
      <c r="K5" s="114"/>
      <c r="L5" s="170"/>
    </row>
    <row r="6" spans="1:18">
      <c r="A6" s="323" t="s">
        <v>437</v>
      </c>
      <c r="B6" s="323"/>
      <c r="C6" s="323"/>
      <c r="D6" s="323"/>
      <c r="E6" s="323"/>
      <c r="F6" s="323"/>
      <c r="G6" s="323"/>
      <c r="H6" s="323"/>
      <c r="I6" s="323"/>
      <c r="J6" s="170"/>
      <c r="K6" s="170"/>
      <c r="L6" s="49"/>
    </row>
    <row r="7" spans="1:18" ht="63" customHeight="1">
      <c r="A7" s="50"/>
      <c r="B7" s="72"/>
      <c r="C7" s="325" t="s">
        <v>163</v>
      </c>
      <c r="D7" s="325"/>
      <c r="E7" s="325"/>
      <c r="F7" s="325"/>
      <c r="G7" s="325"/>
      <c r="H7" s="325"/>
      <c r="I7" s="325"/>
      <c r="J7" s="171"/>
      <c r="K7" s="171"/>
      <c r="L7" s="50"/>
    </row>
    <row r="8" spans="1:18">
      <c r="A8" s="50"/>
      <c r="B8" s="72"/>
      <c r="C8" s="171"/>
      <c r="D8" s="171"/>
      <c r="E8" s="171"/>
      <c r="F8" s="171"/>
      <c r="G8" s="171"/>
      <c r="H8" s="171"/>
      <c r="I8" s="171"/>
      <c r="J8" s="171"/>
      <c r="K8" s="171"/>
      <c r="L8" s="50"/>
    </row>
    <row r="9" spans="1:18">
      <c r="B9" s="73" t="s">
        <v>114</v>
      </c>
      <c r="C9" s="74"/>
      <c r="D9" s="73"/>
      <c r="E9" s="73"/>
      <c r="F9" s="73"/>
      <c r="G9" s="73"/>
      <c r="I9" s="75"/>
      <c r="J9" s="75"/>
      <c r="K9" s="75"/>
      <c r="L9" s="51"/>
    </row>
    <row r="10" spans="1:18">
      <c r="B10" s="76"/>
      <c r="C10" s="77"/>
      <c r="D10" s="76"/>
      <c r="E10" s="76"/>
      <c r="F10" s="76"/>
      <c r="G10" s="76"/>
      <c r="I10" s="75"/>
      <c r="J10" s="75"/>
      <c r="K10" s="75"/>
      <c r="L10" s="51"/>
      <c r="R10" s="97"/>
    </row>
    <row r="11" spans="1:18">
      <c r="B11" s="324" t="s">
        <v>115</v>
      </c>
      <c r="C11" s="324"/>
      <c r="D11" s="324"/>
      <c r="E11" s="324"/>
      <c r="F11" s="324"/>
      <c r="G11" s="324"/>
      <c r="H11" s="324"/>
      <c r="I11" s="324"/>
      <c r="J11" s="133"/>
      <c r="K11" s="107"/>
    </row>
    <row r="12" spans="1:18" ht="63">
      <c r="B12" s="309" t="s">
        <v>116</v>
      </c>
      <c r="C12" s="310"/>
      <c r="D12" s="310"/>
      <c r="E12" s="311"/>
      <c r="F12" s="193" t="s">
        <v>117</v>
      </c>
      <c r="G12" s="164" t="s">
        <v>118</v>
      </c>
      <c r="H12" s="163" t="s">
        <v>119</v>
      </c>
      <c r="I12" s="183" t="s">
        <v>120</v>
      </c>
      <c r="J12" s="115"/>
      <c r="K12" s="115"/>
      <c r="L12" s="51"/>
      <c r="M12" s="112"/>
    </row>
    <row r="13" spans="1:18">
      <c r="B13" s="317">
        <v>1</v>
      </c>
      <c r="C13" s="318"/>
      <c r="D13" s="318"/>
      <c r="E13" s="319"/>
      <c r="F13" s="320">
        <v>2</v>
      </c>
      <c r="G13" s="321"/>
      <c r="H13" s="78">
        <v>3</v>
      </c>
      <c r="I13" s="184">
        <v>4</v>
      </c>
      <c r="J13" s="116"/>
      <c r="K13" s="116"/>
      <c r="M13" s="169"/>
      <c r="N13" s="169"/>
    </row>
    <row r="14" spans="1:18">
      <c r="B14" s="326">
        <v>635000</v>
      </c>
      <c r="C14" s="327"/>
      <c r="D14" s="327"/>
      <c r="E14" s="328"/>
      <c r="F14" s="185">
        <v>48384</v>
      </c>
      <c r="G14" s="186">
        <f>B14*12</f>
        <v>7620000</v>
      </c>
      <c r="H14" s="137">
        <f>G14*30.2%</f>
        <v>2301240</v>
      </c>
      <c r="I14" s="79">
        <f>G14+H14</f>
        <v>9921240</v>
      </c>
      <c r="J14" s="117"/>
      <c r="K14" s="117"/>
      <c r="L14" s="97"/>
      <c r="M14" s="113"/>
      <c r="N14" s="113"/>
      <c r="O14" s="113"/>
    </row>
    <row r="15" spans="1:18">
      <c r="B15" s="80"/>
      <c r="C15" s="80"/>
      <c r="D15" s="80"/>
      <c r="E15" s="80"/>
      <c r="F15" s="81"/>
      <c r="G15" s="82"/>
      <c r="H15" s="83"/>
      <c r="I15" s="84"/>
      <c r="J15" s="84"/>
      <c r="K15" s="84"/>
      <c r="M15" s="111"/>
      <c r="N15" s="124"/>
      <c r="O15" s="97"/>
    </row>
    <row r="16" spans="1:18">
      <c r="B16" s="329" t="s">
        <v>121</v>
      </c>
      <c r="C16" s="329"/>
      <c r="D16" s="329"/>
      <c r="E16" s="329"/>
      <c r="F16" s="329"/>
      <c r="G16" s="329"/>
      <c r="H16" s="329"/>
      <c r="I16" s="329"/>
      <c r="J16" s="159"/>
      <c r="K16" s="159"/>
      <c r="M16" s="111"/>
      <c r="O16" s="97"/>
    </row>
    <row r="17" spans="2:15">
      <c r="B17" s="78" t="s">
        <v>122</v>
      </c>
      <c r="C17" s="320" t="s">
        <v>123</v>
      </c>
      <c r="D17" s="335"/>
      <c r="E17" s="335"/>
      <c r="F17" s="321"/>
      <c r="G17" s="138" t="s">
        <v>124</v>
      </c>
      <c r="H17" s="78" t="s">
        <v>125</v>
      </c>
      <c r="I17" s="78" t="s">
        <v>126</v>
      </c>
      <c r="J17" s="55"/>
      <c r="K17" s="80"/>
    </row>
    <row r="18" spans="2:15">
      <c r="B18" s="78">
        <v>1</v>
      </c>
      <c r="C18" s="337" t="s">
        <v>178</v>
      </c>
      <c r="D18" s="338"/>
      <c r="E18" s="338"/>
      <c r="F18" s="339"/>
      <c r="G18" s="78">
        <v>40</v>
      </c>
      <c r="H18" s="150">
        <v>68.45</v>
      </c>
      <c r="I18" s="137">
        <f>G18*H18</f>
        <v>2738</v>
      </c>
      <c r="J18" s="118"/>
      <c r="K18" s="118"/>
    </row>
    <row r="19" spans="2:15">
      <c r="B19" s="78">
        <v>2</v>
      </c>
      <c r="C19" s="337" t="s">
        <v>179</v>
      </c>
      <c r="D19" s="338"/>
      <c r="E19" s="338"/>
      <c r="F19" s="339"/>
      <c r="G19" s="78">
        <v>1</v>
      </c>
      <c r="H19" s="150">
        <v>3850</v>
      </c>
      <c r="I19" s="137">
        <f>G19*H19</f>
        <v>3850</v>
      </c>
      <c r="J19" s="118"/>
      <c r="K19" s="118"/>
      <c r="M19" s="112"/>
      <c r="N19" s="97"/>
      <c r="O19" s="97"/>
    </row>
    <row r="20" spans="2:15">
      <c r="B20" s="78">
        <v>3</v>
      </c>
      <c r="C20" s="337" t="s">
        <v>180</v>
      </c>
      <c r="D20" s="338"/>
      <c r="E20" s="338"/>
      <c r="F20" s="339"/>
      <c r="G20" s="78">
        <v>3</v>
      </c>
      <c r="H20" s="150">
        <v>4600</v>
      </c>
      <c r="I20" s="137">
        <f>G20*H20</f>
        <v>13800</v>
      </c>
      <c r="J20" s="97"/>
      <c r="K20" s="118"/>
    </row>
    <row r="21" spans="2:15" s="129" customFormat="1">
      <c r="B21" s="340" t="s">
        <v>127</v>
      </c>
      <c r="C21" s="341"/>
      <c r="D21" s="341"/>
      <c r="E21" s="341"/>
      <c r="F21" s="341"/>
      <c r="G21" s="341"/>
      <c r="H21" s="342"/>
      <c r="I21" s="79">
        <f>SUM(I18:I20)</f>
        <v>20388</v>
      </c>
      <c r="J21" s="119"/>
      <c r="K21" s="119"/>
      <c r="L21" s="53"/>
      <c r="M21" s="128"/>
    </row>
    <row r="22" spans="2:15">
      <c r="B22" s="85"/>
      <c r="C22" s="86"/>
      <c r="D22" s="86"/>
      <c r="E22" s="86"/>
      <c r="F22" s="86"/>
      <c r="G22" s="86"/>
      <c r="H22" s="86"/>
      <c r="I22" s="87"/>
      <c r="J22" s="87"/>
      <c r="K22" s="87"/>
      <c r="L22" s="53"/>
      <c r="N22" s="97"/>
      <c r="O22" s="97"/>
    </row>
    <row r="23" spans="2:15">
      <c r="G23" s="97">
        <f>G27+'Работа 2'!G49+'Работа 1'!G26</f>
        <v>145000</v>
      </c>
    </row>
    <row r="24" spans="2:15">
      <c r="C24" s="73" t="s">
        <v>131</v>
      </c>
      <c r="D24" s="76"/>
      <c r="E24" s="139"/>
      <c r="F24" s="139"/>
      <c r="G24" s="139"/>
      <c r="H24" s="88"/>
      <c r="J24" s="89"/>
      <c r="K24" s="89"/>
      <c r="L24" s="89"/>
      <c r="M24" s="52"/>
      <c r="N24" s="88"/>
    </row>
    <row r="25" spans="2:15">
      <c r="B25" s="78" t="s">
        <v>122</v>
      </c>
      <c r="C25" s="312" t="s">
        <v>129</v>
      </c>
      <c r="D25" s="313"/>
      <c r="E25" s="314"/>
      <c r="F25" s="140" t="s">
        <v>132</v>
      </c>
      <c r="G25" s="180" t="s">
        <v>133</v>
      </c>
      <c r="H25" s="176" t="s">
        <v>134</v>
      </c>
      <c r="I25" s="142" t="s">
        <v>126</v>
      </c>
      <c r="J25" s="120"/>
      <c r="K25" s="120"/>
      <c r="M25" s="112"/>
    </row>
    <row r="26" spans="2:15">
      <c r="B26" s="78">
        <v>1</v>
      </c>
      <c r="C26" s="343" t="s">
        <v>135</v>
      </c>
      <c r="D26" s="344"/>
      <c r="E26" s="345"/>
      <c r="F26" s="138" t="s">
        <v>136</v>
      </c>
      <c r="G26" s="78">
        <v>170.12</v>
      </c>
      <c r="H26" s="179">
        <v>18660</v>
      </c>
      <c r="I26" s="137">
        <f>G26*H26</f>
        <v>3174439.2</v>
      </c>
      <c r="J26" s="118"/>
      <c r="K26" s="118"/>
      <c r="M26" s="113"/>
      <c r="N26" s="113"/>
      <c r="O26" s="97"/>
    </row>
    <row r="27" spans="2:15">
      <c r="B27" s="78">
        <v>2</v>
      </c>
      <c r="C27" s="343" t="s">
        <v>168</v>
      </c>
      <c r="D27" s="344"/>
      <c r="E27" s="345"/>
      <c r="F27" s="138" t="s">
        <v>137</v>
      </c>
      <c r="G27" s="179">
        <v>17767.2</v>
      </c>
      <c r="H27" s="78">
        <v>51.375999999999998</v>
      </c>
      <c r="I27" s="137">
        <f>H27*G27</f>
        <v>912807.66720000003</v>
      </c>
      <c r="J27" s="118"/>
      <c r="K27" s="118"/>
      <c r="M27" s="111"/>
    </row>
    <row r="28" spans="2:15">
      <c r="B28" s="78">
        <v>3</v>
      </c>
      <c r="C28" s="343" t="s">
        <v>138</v>
      </c>
      <c r="D28" s="344"/>
      <c r="E28" s="345"/>
      <c r="F28" s="138" t="s">
        <v>139</v>
      </c>
      <c r="G28" s="78">
        <v>5</v>
      </c>
      <c r="H28" s="78">
        <v>625.16</v>
      </c>
      <c r="I28" s="137">
        <f>G28*H28</f>
        <v>3125.7999999999997</v>
      </c>
      <c r="J28" s="118"/>
      <c r="K28" s="118"/>
    </row>
    <row r="29" spans="2:15" s="129" customFormat="1">
      <c r="B29" s="143" t="s">
        <v>140</v>
      </c>
      <c r="C29" s="144"/>
      <c r="D29" s="144"/>
      <c r="E29" s="144"/>
      <c r="F29" s="144"/>
      <c r="G29" s="144"/>
      <c r="H29" s="145"/>
      <c r="I29" s="79">
        <f>SUM(I26:I28)</f>
        <v>4090372.6672</v>
      </c>
      <c r="J29" s="92"/>
      <c r="K29" s="117"/>
      <c r="L29" s="126"/>
      <c r="M29" s="128"/>
    </row>
    <row r="30" spans="2:15">
      <c r="B30" s="91"/>
      <c r="C30" s="91"/>
      <c r="D30" s="91"/>
      <c r="E30" s="91"/>
      <c r="F30" s="91"/>
      <c r="G30" s="91"/>
      <c r="H30" s="91"/>
      <c r="I30" s="92"/>
      <c r="J30" s="92"/>
      <c r="K30" s="92"/>
      <c r="L30" s="97"/>
    </row>
    <row r="31" spans="2:15">
      <c r="B31" s="95" t="s">
        <v>308</v>
      </c>
      <c r="C31" s="85"/>
      <c r="D31" s="85"/>
      <c r="E31" s="85"/>
      <c r="F31" s="96"/>
      <c r="G31" s="96"/>
      <c r="H31" s="96"/>
      <c r="J31" s="97"/>
    </row>
    <row r="32" spans="2:15">
      <c r="B32" s="95"/>
      <c r="C32" s="85"/>
      <c r="D32" s="85"/>
      <c r="E32" s="85"/>
      <c r="F32" s="96"/>
      <c r="G32" s="96"/>
      <c r="H32" s="96"/>
      <c r="K32" s="113"/>
    </row>
    <row r="33" spans="2:15">
      <c r="B33" s="73" t="s">
        <v>309</v>
      </c>
      <c r="C33" s="76"/>
      <c r="D33" s="76"/>
      <c r="E33" s="76"/>
      <c r="H33" s="98"/>
      <c r="J33" s="97"/>
    </row>
    <row r="34" spans="2:15" ht="31.5">
      <c r="B34" s="176" t="s">
        <v>122</v>
      </c>
      <c r="C34" s="382" t="s">
        <v>129</v>
      </c>
      <c r="D34" s="382"/>
      <c r="E34" s="382"/>
      <c r="F34" s="382"/>
      <c r="G34" s="135" t="s">
        <v>142</v>
      </c>
      <c r="H34" s="176" t="s">
        <v>143</v>
      </c>
      <c r="I34" s="176" t="s">
        <v>126</v>
      </c>
      <c r="K34" s="97"/>
      <c r="M34" s="52"/>
      <c r="N34" s="88"/>
    </row>
    <row r="35" spans="2:15" ht="77.25" customHeight="1">
      <c r="B35" s="176">
        <v>1</v>
      </c>
      <c r="C35" s="366" t="s">
        <v>173</v>
      </c>
      <c r="D35" s="366"/>
      <c r="E35" s="366"/>
      <c r="F35" s="366"/>
      <c r="G35" s="135">
        <v>12</v>
      </c>
      <c r="H35" s="176">
        <v>8484</v>
      </c>
      <c r="I35" s="216">
        <v>101808</v>
      </c>
      <c r="K35" s="97"/>
      <c r="M35" s="52"/>
      <c r="N35" s="88"/>
    </row>
    <row r="36" spans="2:15" ht="48.75" customHeight="1">
      <c r="B36" s="176">
        <v>2</v>
      </c>
      <c r="C36" s="366" t="s">
        <v>174</v>
      </c>
      <c r="D36" s="366"/>
      <c r="E36" s="366"/>
      <c r="F36" s="366"/>
      <c r="G36" s="176">
        <v>12</v>
      </c>
      <c r="H36" s="209">
        <v>2662</v>
      </c>
      <c r="I36" s="209">
        <f>G36*H36</f>
        <v>31944</v>
      </c>
      <c r="M36" s="52"/>
      <c r="N36" s="88"/>
    </row>
    <row r="37" spans="2:15">
      <c r="B37" s="348" t="s">
        <v>140</v>
      </c>
      <c r="C37" s="349"/>
      <c r="D37" s="349"/>
      <c r="E37" s="349"/>
      <c r="F37" s="349"/>
      <c r="G37" s="349"/>
      <c r="H37" s="350"/>
      <c r="I37" s="93">
        <f>I35+I36</f>
        <v>133752</v>
      </c>
      <c r="M37" s="52"/>
      <c r="N37" s="88"/>
    </row>
    <row r="38" spans="2:15">
      <c r="B38" s="134"/>
      <c r="C38" s="134"/>
      <c r="D38" s="134"/>
      <c r="E38" s="134"/>
      <c r="F38" s="134"/>
      <c r="G38" s="134"/>
      <c r="H38" s="134"/>
      <c r="I38" s="102"/>
      <c r="M38" s="52"/>
      <c r="N38" s="88"/>
    </row>
    <row r="39" spans="2:15">
      <c r="B39" s="73" t="s">
        <v>343</v>
      </c>
      <c r="C39" s="73"/>
      <c r="D39" s="73"/>
      <c r="E39" s="73"/>
      <c r="F39" s="73"/>
      <c r="G39" s="73"/>
      <c r="H39" s="94"/>
      <c r="I39" s="102"/>
      <c r="M39" s="52"/>
      <c r="N39" s="88"/>
    </row>
    <row r="40" spans="2:15">
      <c r="B40" s="69" t="s">
        <v>122</v>
      </c>
      <c r="C40" s="346" t="s">
        <v>147</v>
      </c>
      <c r="D40" s="347"/>
      <c r="E40" s="346" t="s">
        <v>148</v>
      </c>
      <c r="F40" s="354"/>
      <c r="G40" s="354"/>
      <c r="H40" s="347"/>
      <c r="I40" s="69" t="s">
        <v>126</v>
      </c>
      <c r="J40" s="102"/>
      <c r="M40" s="52"/>
      <c r="O40" s="88"/>
    </row>
    <row r="41" spans="2:15" ht="43.5" customHeight="1">
      <c r="B41" s="176">
        <v>1</v>
      </c>
      <c r="C41" s="331" t="s">
        <v>369</v>
      </c>
      <c r="D41" s="331"/>
      <c r="E41" s="309" t="s">
        <v>325</v>
      </c>
      <c r="F41" s="310"/>
      <c r="G41" s="310"/>
      <c r="H41" s="311"/>
      <c r="I41" s="68">
        <v>29000</v>
      </c>
      <c r="J41" s="102"/>
      <c r="M41" s="52"/>
      <c r="O41" s="88"/>
    </row>
    <row r="42" spans="2:15">
      <c r="B42" s="348" t="s">
        <v>140</v>
      </c>
      <c r="C42" s="349"/>
      <c r="D42" s="349"/>
      <c r="E42" s="349"/>
      <c r="F42" s="349"/>
      <c r="G42" s="349"/>
      <c r="H42" s="350"/>
      <c r="I42" s="93">
        <f>SUM(I41)</f>
        <v>29000</v>
      </c>
      <c r="J42" s="102"/>
      <c r="M42" s="52"/>
      <c r="O42" s="88"/>
    </row>
    <row r="43" spans="2:15">
      <c r="B43" s="134"/>
      <c r="C43" s="134"/>
      <c r="D43" s="134"/>
      <c r="E43" s="134"/>
      <c r="F43" s="134"/>
      <c r="G43" s="134"/>
      <c r="H43" s="134"/>
      <c r="I43" s="102"/>
      <c r="M43" s="52"/>
      <c r="N43" s="88"/>
    </row>
    <row r="44" spans="2:15">
      <c r="C44" s="96"/>
      <c r="D44" s="96"/>
      <c r="E44" s="96"/>
      <c r="F44" s="96"/>
      <c r="G44" s="96"/>
      <c r="H44" s="95"/>
    </row>
    <row r="45" spans="2:15">
      <c r="B45" s="95" t="s">
        <v>344</v>
      </c>
      <c r="C45" s="96"/>
      <c r="D45" s="96"/>
      <c r="E45" s="96"/>
      <c r="F45" s="85"/>
      <c r="G45" s="85"/>
      <c r="H45" s="85"/>
    </row>
    <row r="46" spans="2:15">
      <c r="B46" s="176" t="s">
        <v>122</v>
      </c>
      <c r="C46" s="320" t="s">
        <v>147</v>
      </c>
      <c r="D46" s="321"/>
      <c r="E46" s="320" t="s">
        <v>148</v>
      </c>
      <c r="F46" s="335"/>
      <c r="G46" s="321"/>
      <c r="H46" s="320" t="s">
        <v>130</v>
      </c>
      <c r="I46" s="321"/>
      <c r="M46" s="52"/>
      <c r="N46" s="88"/>
    </row>
    <row r="47" spans="2:15" ht="33.75" customHeight="1">
      <c r="B47" s="176">
        <v>1</v>
      </c>
      <c r="C47" s="358" t="s">
        <v>338</v>
      </c>
      <c r="D47" s="359"/>
      <c r="E47" s="358" t="s">
        <v>341</v>
      </c>
      <c r="F47" s="360"/>
      <c r="G47" s="361"/>
      <c r="H47" s="408">
        <v>300000</v>
      </c>
      <c r="I47" s="409"/>
      <c r="K47" s="97"/>
      <c r="M47" s="52"/>
      <c r="N47" s="88"/>
    </row>
    <row r="48" spans="2:15" ht="35.25" customHeight="1">
      <c r="B48" s="176">
        <v>2</v>
      </c>
      <c r="C48" s="358" t="s">
        <v>339</v>
      </c>
      <c r="D48" s="359"/>
      <c r="E48" s="358" t="s">
        <v>167</v>
      </c>
      <c r="F48" s="360"/>
      <c r="G48" s="361"/>
      <c r="H48" s="408">
        <v>124000</v>
      </c>
      <c r="I48" s="409"/>
      <c r="K48" s="97"/>
      <c r="M48" s="52"/>
      <c r="N48" s="88"/>
    </row>
    <row r="49" spans="2:14" ht="36.75" customHeight="1">
      <c r="B49" s="176">
        <v>3</v>
      </c>
      <c r="C49" s="358" t="s">
        <v>340</v>
      </c>
      <c r="D49" s="359"/>
      <c r="E49" s="367" t="s">
        <v>342</v>
      </c>
      <c r="F49" s="368"/>
      <c r="G49" s="369"/>
      <c r="H49" s="408">
        <v>60000</v>
      </c>
      <c r="I49" s="409"/>
      <c r="K49" s="97"/>
      <c r="M49" s="52"/>
      <c r="N49" s="88"/>
    </row>
    <row r="50" spans="2:14" ht="36.75" customHeight="1">
      <c r="B50" s="165">
        <v>4</v>
      </c>
      <c r="C50" s="358" t="s">
        <v>374</v>
      </c>
      <c r="D50" s="361"/>
      <c r="E50" s="367" t="s">
        <v>167</v>
      </c>
      <c r="F50" s="368"/>
      <c r="G50" s="369"/>
      <c r="H50" s="408">
        <v>60000</v>
      </c>
      <c r="I50" s="409"/>
      <c r="K50" s="97"/>
      <c r="M50" s="52"/>
      <c r="N50" s="88"/>
    </row>
    <row r="51" spans="2:14" ht="36.75" customHeight="1">
      <c r="B51" s="176">
        <v>5</v>
      </c>
      <c r="C51" s="358" t="s">
        <v>379</v>
      </c>
      <c r="D51" s="359"/>
      <c r="E51" s="383" t="s">
        <v>167</v>
      </c>
      <c r="F51" s="418"/>
      <c r="G51" s="407"/>
      <c r="H51" s="408">
        <v>60000</v>
      </c>
      <c r="I51" s="409"/>
      <c r="K51" s="97"/>
      <c r="M51" s="52"/>
      <c r="N51" s="88"/>
    </row>
    <row r="52" spans="2:14" ht="36.75" customHeight="1">
      <c r="B52" s="176">
        <v>6</v>
      </c>
      <c r="C52" s="358" t="s">
        <v>380</v>
      </c>
      <c r="D52" s="359"/>
      <c r="E52" s="383" t="s">
        <v>330</v>
      </c>
      <c r="F52" s="418"/>
      <c r="G52" s="407"/>
      <c r="H52" s="408">
        <v>60000</v>
      </c>
      <c r="I52" s="409"/>
      <c r="K52" s="97"/>
      <c r="M52" s="52"/>
      <c r="N52" s="88"/>
    </row>
    <row r="53" spans="2:14" ht="36.75" customHeight="1">
      <c r="B53" s="176">
        <v>6</v>
      </c>
      <c r="C53" s="358" t="s">
        <v>381</v>
      </c>
      <c r="D53" s="414"/>
      <c r="E53" s="358" t="s">
        <v>336</v>
      </c>
      <c r="F53" s="360"/>
      <c r="G53" s="361"/>
      <c r="H53" s="408">
        <v>60000</v>
      </c>
      <c r="I53" s="409"/>
      <c r="K53" s="97"/>
      <c r="M53" s="52"/>
      <c r="N53" s="88"/>
    </row>
    <row r="54" spans="2:14" ht="36.75" customHeight="1">
      <c r="B54" s="176">
        <v>6</v>
      </c>
      <c r="C54" s="358" t="s">
        <v>382</v>
      </c>
      <c r="D54" s="359"/>
      <c r="E54" s="358" t="s">
        <v>167</v>
      </c>
      <c r="F54" s="360"/>
      <c r="G54" s="361"/>
      <c r="H54" s="408">
        <v>169000</v>
      </c>
      <c r="I54" s="409"/>
      <c r="K54" s="97"/>
      <c r="M54" s="52"/>
      <c r="N54" s="88"/>
    </row>
    <row r="55" spans="2:14" ht="36.75" customHeight="1">
      <c r="B55" s="176">
        <v>6</v>
      </c>
      <c r="C55" s="358" t="s">
        <v>387</v>
      </c>
      <c r="D55" s="361"/>
      <c r="E55" s="358" t="s">
        <v>259</v>
      </c>
      <c r="F55" s="360"/>
      <c r="G55" s="361"/>
      <c r="H55" s="408">
        <v>260900</v>
      </c>
      <c r="I55" s="409"/>
      <c r="K55" s="97"/>
      <c r="M55" s="52"/>
      <c r="N55" s="88"/>
    </row>
    <row r="56" spans="2:14">
      <c r="B56" s="348" t="s">
        <v>140</v>
      </c>
      <c r="C56" s="349"/>
      <c r="D56" s="349"/>
      <c r="E56" s="349"/>
      <c r="F56" s="349"/>
      <c r="G56" s="350"/>
      <c r="H56" s="146">
        <f>SUM(H47:I55)</f>
        <v>1153900</v>
      </c>
      <c r="I56" s="147"/>
      <c r="J56" s="113"/>
      <c r="K56" s="97"/>
      <c r="L56" s="97"/>
      <c r="M56" s="52"/>
      <c r="N56" s="88"/>
    </row>
    <row r="57" spans="2:14">
      <c r="M57" s="111"/>
    </row>
    <row r="58" spans="2:14">
      <c r="B58" s="73" t="s">
        <v>345</v>
      </c>
      <c r="C58" s="76"/>
      <c r="D58" s="76"/>
      <c r="E58" s="76"/>
      <c r="F58" s="76"/>
      <c r="I58" s="88"/>
      <c r="J58" s="88"/>
      <c r="K58" s="88"/>
    </row>
    <row r="59" spans="2:14">
      <c r="B59" s="73" t="s">
        <v>149</v>
      </c>
      <c r="C59" s="76"/>
      <c r="D59" s="76"/>
      <c r="E59" s="76"/>
      <c r="F59" s="76"/>
      <c r="I59" s="91"/>
      <c r="J59" s="91"/>
      <c r="K59" s="91"/>
    </row>
    <row r="60" spans="2:14" ht="31.5">
      <c r="B60" s="176" t="s">
        <v>122</v>
      </c>
      <c r="C60" s="331" t="s">
        <v>150</v>
      </c>
      <c r="D60" s="331"/>
      <c r="E60" s="331"/>
      <c r="F60" s="164" t="s">
        <v>151</v>
      </c>
      <c r="G60" s="164" t="s">
        <v>152</v>
      </c>
      <c r="H60" s="164" t="s">
        <v>153</v>
      </c>
      <c r="I60" s="135" t="s">
        <v>154</v>
      </c>
      <c r="J60" s="172" t="s">
        <v>155</v>
      </c>
      <c r="K60" s="121"/>
      <c r="L60" s="121"/>
      <c r="M60" s="52"/>
      <c r="N60" s="88"/>
    </row>
    <row r="61" spans="2:14" ht="87.75" customHeight="1">
      <c r="B61" s="176">
        <v>1</v>
      </c>
      <c r="C61" s="362" t="s">
        <v>194</v>
      </c>
      <c r="D61" s="362"/>
      <c r="E61" s="362"/>
      <c r="F61" s="190">
        <v>1</v>
      </c>
      <c r="G61" s="164">
        <v>7</v>
      </c>
      <c r="H61" s="217">
        <v>350</v>
      </c>
      <c r="I61" s="176">
        <v>1</v>
      </c>
      <c r="J61" s="218">
        <f>I61*H61*G61</f>
        <v>2450</v>
      </c>
      <c r="K61" s="122"/>
      <c r="L61" s="122"/>
      <c r="M61" s="52"/>
      <c r="N61" s="88"/>
    </row>
    <row r="62" spans="2:14" ht="72" customHeight="1">
      <c r="B62" s="176">
        <v>2</v>
      </c>
      <c r="C62" s="362" t="s">
        <v>270</v>
      </c>
      <c r="D62" s="362"/>
      <c r="E62" s="362"/>
      <c r="F62" s="190">
        <v>1</v>
      </c>
      <c r="G62" s="164">
        <v>7</v>
      </c>
      <c r="H62" s="217">
        <v>350</v>
      </c>
      <c r="I62" s="176">
        <v>1</v>
      </c>
      <c r="J62" s="218">
        <f>I62*H62*G62</f>
        <v>2450</v>
      </c>
      <c r="K62" s="122"/>
      <c r="L62" s="122"/>
      <c r="M62" s="52"/>
      <c r="N62" s="88"/>
    </row>
    <row r="63" spans="2:14" s="129" customFormat="1">
      <c r="B63" s="351" t="s">
        <v>140</v>
      </c>
      <c r="C63" s="352"/>
      <c r="D63" s="352"/>
      <c r="E63" s="352"/>
      <c r="F63" s="352"/>
      <c r="G63" s="352"/>
      <c r="H63" s="352"/>
      <c r="I63" s="353"/>
      <c r="J63" s="219">
        <f>SUM(J61:J62)</f>
        <v>4900</v>
      </c>
      <c r="K63" s="84"/>
      <c r="L63" s="84"/>
      <c r="N63" s="128"/>
    </row>
    <row r="64" spans="2:14">
      <c r="B64" s="73" t="s">
        <v>156</v>
      </c>
      <c r="C64" s="76"/>
      <c r="D64" s="76"/>
      <c r="E64" s="76"/>
      <c r="F64" s="76"/>
      <c r="I64" s="104"/>
      <c r="J64" s="104"/>
      <c r="K64" s="104"/>
    </row>
    <row r="65" spans="2:15" ht="31.5">
      <c r="B65" s="176" t="s">
        <v>122</v>
      </c>
      <c r="C65" s="331" t="s">
        <v>150</v>
      </c>
      <c r="D65" s="331"/>
      <c r="E65" s="331"/>
      <c r="F65" s="163" t="s">
        <v>151</v>
      </c>
      <c r="G65" s="162" t="s">
        <v>152</v>
      </c>
      <c r="H65" s="164" t="s">
        <v>157</v>
      </c>
      <c r="I65" s="135" t="s">
        <v>154</v>
      </c>
      <c r="J65" s="172" t="s">
        <v>155</v>
      </c>
      <c r="K65" s="121"/>
      <c r="L65" s="121"/>
      <c r="M65" s="52"/>
      <c r="N65" s="88"/>
    </row>
    <row r="66" spans="2:15" ht="63" customHeight="1">
      <c r="B66" s="176">
        <v>1</v>
      </c>
      <c r="C66" s="333" t="s">
        <v>279</v>
      </c>
      <c r="D66" s="303"/>
      <c r="E66" s="334"/>
      <c r="F66" s="220">
        <v>1</v>
      </c>
      <c r="G66" s="221">
        <v>7</v>
      </c>
      <c r="H66" s="68">
        <v>17290</v>
      </c>
      <c r="I66" s="176">
        <v>1</v>
      </c>
      <c r="J66" s="209">
        <f>H66*I66</f>
        <v>17290</v>
      </c>
      <c r="K66" s="122"/>
      <c r="L66" s="122"/>
      <c r="M66" s="52"/>
      <c r="N66" s="88"/>
    </row>
    <row r="67" spans="2:15" ht="63.75" customHeight="1">
      <c r="B67" s="176">
        <v>2</v>
      </c>
      <c r="C67" s="333" t="s">
        <v>280</v>
      </c>
      <c r="D67" s="303"/>
      <c r="E67" s="334"/>
      <c r="F67" s="220">
        <v>1</v>
      </c>
      <c r="G67" s="190">
        <v>7</v>
      </c>
      <c r="H67" s="222">
        <v>13220</v>
      </c>
      <c r="I67" s="176">
        <v>1</v>
      </c>
      <c r="J67" s="209">
        <f>H67*I67</f>
        <v>13220</v>
      </c>
      <c r="K67" s="122"/>
      <c r="L67" s="122"/>
      <c r="M67" s="58"/>
      <c r="N67" s="88"/>
    </row>
    <row r="68" spans="2:15" s="129" customFormat="1">
      <c r="B68" s="351" t="s">
        <v>140</v>
      </c>
      <c r="C68" s="352"/>
      <c r="D68" s="352"/>
      <c r="E68" s="352"/>
      <c r="F68" s="352"/>
      <c r="G68" s="352"/>
      <c r="H68" s="352"/>
      <c r="I68" s="353"/>
      <c r="J68" s="219">
        <f>SUM(J66:J67)</f>
        <v>30510</v>
      </c>
      <c r="K68" s="102"/>
      <c r="L68" s="102"/>
      <c r="N68" s="128"/>
    </row>
    <row r="69" spans="2:15">
      <c r="C69" s="73" t="s">
        <v>158</v>
      </c>
      <c r="D69" s="76"/>
      <c r="E69" s="76"/>
      <c r="F69" s="76"/>
      <c r="G69" s="76"/>
      <c r="M69" s="52"/>
      <c r="N69" s="88"/>
    </row>
    <row r="70" spans="2:15" ht="31.5">
      <c r="B70" s="176" t="s">
        <v>122</v>
      </c>
      <c r="C70" s="331" t="s">
        <v>150</v>
      </c>
      <c r="D70" s="331"/>
      <c r="E70" s="331"/>
      <c r="F70" s="164" t="s">
        <v>151</v>
      </c>
      <c r="G70" s="164" t="s">
        <v>152</v>
      </c>
      <c r="H70" s="164" t="s">
        <v>159</v>
      </c>
      <c r="I70" s="135" t="s">
        <v>154</v>
      </c>
      <c r="J70" s="172" t="s">
        <v>155</v>
      </c>
      <c r="K70" s="121"/>
      <c r="L70" s="121"/>
      <c r="M70" s="52"/>
      <c r="N70" s="88"/>
    </row>
    <row r="71" spans="2:15" ht="66.75" customHeight="1">
      <c r="B71" s="176">
        <v>1</v>
      </c>
      <c r="C71" s="362" t="s">
        <v>279</v>
      </c>
      <c r="D71" s="362"/>
      <c r="E71" s="362"/>
      <c r="F71" s="190">
        <v>1</v>
      </c>
      <c r="G71" s="190">
        <v>6</v>
      </c>
      <c r="H71" s="217">
        <v>550</v>
      </c>
      <c r="I71" s="176">
        <v>1</v>
      </c>
      <c r="J71" s="223">
        <f>G71*H71*I71</f>
        <v>3300</v>
      </c>
      <c r="K71" s="64"/>
      <c r="L71" s="64"/>
      <c r="M71" s="52"/>
      <c r="N71" s="88"/>
    </row>
    <row r="72" spans="2:15" ht="64.5" customHeight="1">
      <c r="B72" s="176">
        <v>2</v>
      </c>
      <c r="C72" s="362" t="s">
        <v>280</v>
      </c>
      <c r="D72" s="362"/>
      <c r="E72" s="362"/>
      <c r="F72" s="190">
        <v>1</v>
      </c>
      <c r="G72" s="190">
        <v>6</v>
      </c>
      <c r="H72" s="217">
        <v>550</v>
      </c>
      <c r="I72" s="176">
        <v>1</v>
      </c>
      <c r="J72" s="223">
        <f>G72*H72*I72</f>
        <v>3300</v>
      </c>
      <c r="K72" s="64"/>
      <c r="L72" s="64"/>
      <c r="M72" s="52"/>
      <c r="N72" s="88"/>
      <c r="O72" s="112"/>
    </row>
    <row r="73" spans="2:15" s="129" customFormat="1">
      <c r="B73" s="351" t="s">
        <v>140</v>
      </c>
      <c r="C73" s="352"/>
      <c r="D73" s="352"/>
      <c r="E73" s="352"/>
      <c r="F73" s="352"/>
      <c r="G73" s="352"/>
      <c r="H73" s="352"/>
      <c r="I73" s="353"/>
      <c r="J73" s="219">
        <f>SUM(J71:J72)</f>
        <v>6600</v>
      </c>
      <c r="K73" s="102"/>
      <c r="L73" s="102"/>
      <c r="N73" s="128"/>
    </row>
    <row r="74" spans="2:15">
      <c r="I74" s="169"/>
      <c r="J74" s="169"/>
      <c r="K74" s="169"/>
    </row>
    <row r="75" spans="2:15">
      <c r="B75" s="73" t="s">
        <v>346</v>
      </c>
      <c r="C75" s="76"/>
      <c r="D75" s="76"/>
      <c r="E75" s="76"/>
      <c r="H75" s="98"/>
    </row>
    <row r="76" spans="2:15">
      <c r="B76" s="69" t="s">
        <v>122</v>
      </c>
      <c r="C76" s="346" t="s">
        <v>129</v>
      </c>
      <c r="D76" s="354"/>
      <c r="E76" s="354"/>
      <c r="F76" s="354"/>
      <c r="G76" s="354"/>
      <c r="H76" s="347"/>
      <c r="I76" s="78" t="s">
        <v>126</v>
      </c>
    </row>
    <row r="77" spans="2:15" ht="42" customHeight="1">
      <c r="B77" s="135">
        <v>1</v>
      </c>
      <c r="C77" s="367" t="s">
        <v>170</v>
      </c>
      <c r="D77" s="368"/>
      <c r="E77" s="368"/>
      <c r="F77" s="368"/>
      <c r="G77" s="368"/>
      <c r="H77" s="369"/>
      <c r="I77" s="68">
        <v>10000</v>
      </c>
      <c r="M77" s="52"/>
      <c r="N77" s="88"/>
    </row>
    <row r="78" spans="2:15" ht="46.5" customHeight="1">
      <c r="B78" s="135">
        <v>2</v>
      </c>
      <c r="C78" s="367" t="s">
        <v>171</v>
      </c>
      <c r="D78" s="368"/>
      <c r="E78" s="368"/>
      <c r="F78" s="368"/>
      <c r="G78" s="368"/>
      <c r="H78" s="369"/>
      <c r="I78" s="68">
        <v>10000</v>
      </c>
      <c r="M78" s="52"/>
      <c r="N78" s="88"/>
    </row>
    <row r="79" spans="2:15" ht="15.75" customHeight="1">
      <c r="B79" s="135">
        <v>3</v>
      </c>
      <c r="C79" s="367" t="s">
        <v>172</v>
      </c>
      <c r="D79" s="368"/>
      <c r="E79" s="368"/>
      <c r="F79" s="368"/>
      <c r="G79" s="368"/>
      <c r="H79" s="369"/>
      <c r="I79" s="68">
        <v>20740.38</v>
      </c>
      <c r="J79" s="97"/>
      <c r="L79" s="97"/>
      <c r="M79" s="52"/>
      <c r="N79" s="88"/>
    </row>
    <row r="80" spans="2:15" ht="15.75" customHeight="1">
      <c r="B80" s="135">
        <v>4</v>
      </c>
      <c r="C80" s="333" t="s">
        <v>412</v>
      </c>
      <c r="D80" s="303"/>
      <c r="E80" s="303"/>
      <c r="F80" s="303"/>
      <c r="G80" s="303"/>
      <c r="H80" s="334"/>
      <c r="I80" s="68">
        <f>2*12*1136.66</f>
        <v>27279.840000000004</v>
      </c>
      <c r="J80" s="97"/>
      <c r="M80" s="52"/>
      <c r="N80" s="88"/>
    </row>
    <row r="81" spans="2:15">
      <c r="B81" s="415" t="s">
        <v>127</v>
      </c>
      <c r="C81" s="416"/>
      <c r="D81" s="416"/>
      <c r="E81" s="416"/>
      <c r="F81" s="416"/>
      <c r="G81" s="416"/>
      <c r="H81" s="417"/>
      <c r="I81" s="93">
        <f>SUM(H76:H76)+I77+I78+I79+I80</f>
        <v>68020.22</v>
      </c>
      <c r="L81" s="123"/>
      <c r="M81" s="85"/>
      <c r="N81" s="91"/>
    </row>
    <row r="82" spans="2:15" ht="21" customHeight="1">
      <c r="B82" s="419" t="s">
        <v>328</v>
      </c>
      <c r="C82" s="419"/>
      <c r="D82" s="419"/>
      <c r="E82" s="419"/>
      <c r="F82" s="419"/>
      <c r="G82" s="419"/>
      <c r="H82" s="419"/>
      <c r="I82" s="182">
        <f>I14+I21+I29+H56+J63+J68+J73+I81+I35+I36+I42</f>
        <v>15458682.8872</v>
      </c>
      <c r="J82" s="100"/>
      <c r="K82" s="136"/>
      <c r="L82" s="126"/>
      <c r="M82" s="127"/>
      <c r="N82" s="91"/>
      <c r="O82" s="85"/>
    </row>
    <row r="83" spans="2:15" ht="15" customHeight="1">
      <c r="B83" s="54"/>
      <c r="C83" s="54"/>
      <c r="D83" s="54"/>
      <c r="E83" s="54"/>
      <c r="F83" s="55"/>
      <c r="G83" s="56"/>
      <c r="H83" s="57"/>
      <c r="J83" s="128"/>
      <c r="K83" s="130"/>
      <c r="L83" s="130"/>
      <c r="M83" s="85"/>
      <c r="N83" s="85"/>
    </row>
    <row r="84" spans="2:15">
      <c r="I84" s="97"/>
      <c r="L84" s="85"/>
      <c r="M84" s="91"/>
      <c r="N84" s="85"/>
    </row>
    <row r="85" spans="2:15">
      <c r="L85" s="85"/>
      <c r="M85" s="91"/>
      <c r="N85" s="85"/>
    </row>
    <row r="86" spans="2:15">
      <c r="H86" s="97"/>
    </row>
    <row r="87" spans="2:15">
      <c r="I87" s="97"/>
    </row>
    <row r="88" spans="2:15">
      <c r="I88" s="97"/>
    </row>
    <row r="89" spans="2:15">
      <c r="I89" s="97"/>
    </row>
    <row r="90" spans="2:15">
      <c r="I90" s="97"/>
      <c r="K90" s="97"/>
    </row>
    <row r="91" spans="2:15">
      <c r="I91" s="97"/>
    </row>
  </sheetData>
  <mergeCells count="81">
    <mergeCell ref="B82:H82"/>
    <mergeCell ref="H49:I49"/>
    <mergeCell ref="C47:D47"/>
    <mergeCell ref="E47:G47"/>
    <mergeCell ref="C49:D49"/>
    <mergeCell ref="E49:G49"/>
    <mergeCell ref="C77:H77"/>
    <mergeCell ref="C78:H78"/>
    <mergeCell ref="B68:I68"/>
    <mergeCell ref="B73:I73"/>
    <mergeCell ref="C70:E70"/>
    <mergeCell ref="C71:E71"/>
    <mergeCell ref="C72:E72"/>
    <mergeCell ref="H47:I47"/>
    <mergeCell ref="H48:I48"/>
    <mergeCell ref="E52:G52"/>
    <mergeCell ref="C36:F36"/>
    <mergeCell ref="C67:E67"/>
    <mergeCell ref="C65:E65"/>
    <mergeCell ref="C46:D46"/>
    <mergeCell ref="C66:E66"/>
    <mergeCell ref="C60:E60"/>
    <mergeCell ref="C61:E61"/>
    <mergeCell ref="C62:E62"/>
    <mergeCell ref="E46:G46"/>
    <mergeCell ref="C40:D40"/>
    <mergeCell ref="B37:H37"/>
    <mergeCell ref="B56:G56"/>
    <mergeCell ref="B63:I63"/>
    <mergeCell ref="C48:D48"/>
    <mergeCell ref="E48:G48"/>
    <mergeCell ref="H46:I46"/>
    <mergeCell ref="C35:F35"/>
    <mergeCell ref="G1:I1"/>
    <mergeCell ref="G2:I2"/>
    <mergeCell ref="C7:I7"/>
    <mergeCell ref="B11:I11"/>
    <mergeCell ref="F13:G13"/>
    <mergeCell ref="B12:E12"/>
    <mergeCell ref="B13:E13"/>
    <mergeCell ref="C17:F17"/>
    <mergeCell ref="A3:I3"/>
    <mergeCell ref="A4:I4"/>
    <mergeCell ref="A5:I5"/>
    <mergeCell ref="A6:I6"/>
    <mergeCell ref="B14:E14"/>
    <mergeCell ref="C34:F34"/>
    <mergeCell ref="C25:E25"/>
    <mergeCell ref="C26:E26"/>
    <mergeCell ref="C27:E27"/>
    <mergeCell ref="C28:E28"/>
    <mergeCell ref="B16:I16"/>
    <mergeCell ref="C18:F18"/>
    <mergeCell ref="C19:F19"/>
    <mergeCell ref="C20:F20"/>
    <mergeCell ref="B21:H21"/>
    <mergeCell ref="C41:D41"/>
    <mergeCell ref="E40:H40"/>
    <mergeCell ref="E41:H41"/>
    <mergeCell ref="B42:H42"/>
    <mergeCell ref="B81:H81"/>
    <mergeCell ref="C76:H76"/>
    <mergeCell ref="C79:H79"/>
    <mergeCell ref="C80:H80"/>
    <mergeCell ref="C50:D50"/>
    <mergeCell ref="E50:G50"/>
    <mergeCell ref="H50:I50"/>
    <mergeCell ref="C51:D51"/>
    <mergeCell ref="E51:G51"/>
    <mergeCell ref="H51:I51"/>
    <mergeCell ref="C52:D52"/>
    <mergeCell ref="C55:D55"/>
    <mergeCell ref="E55:G55"/>
    <mergeCell ref="H55:I55"/>
    <mergeCell ref="H52:I52"/>
    <mergeCell ref="C53:D53"/>
    <mergeCell ref="E53:G53"/>
    <mergeCell ref="H53:I53"/>
    <mergeCell ref="C54:D54"/>
    <mergeCell ref="E54:G54"/>
    <mergeCell ref="H54:I5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2"/>
  <sheetViews>
    <sheetView workbookViewId="0">
      <selection activeCell="B25" sqref="B25"/>
    </sheetView>
  </sheetViews>
  <sheetFormatPr defaultRowHeight="15"/>
  <cols>
    <col min="1" max="1" width="26.140625" style="48" customWidth="1"/>
    <col min="2" max="2" width="17.140625" style="48" customWidth="1"/>
    <col min="3" max="3" width="34.28515625" style="48" customWidth="1"/>
    <col min="4" max="4" width="14.7109375" style="48" customWidth="1"/>
    <col min="5" max="16384" width="9.140625" style="48"/>
  </cols>
  <sheetData>
    <row r="1" spans="1:5" s="224" customFormat="1">
      <c r="A1" s="422" t="s">
        <v>94</v>
      </c>
      <c r="B1" s="422"/>
      <c r="C1" s="422"/>
      <c r="D1" s="422"/>
    </row>
    <row r="2" spans="1:5" s="224" customFormat="1">
      <c r="A2" s="422" t="s">
        <v>252</v>
      </c>
      <c r="B2" s="422"/>
      <c r="C2" s="422"/>
      <c r="D2" s="422"/>
    </row>
    <row r="3" spans="1:5" s="224" customFormat="1">
      <c r="A3" s="422" t="s">
        <v>14</v>
      </c>
      <c r="B3" s="422"/>
      <c r="C3" s="422"/>
      <c r="D3" s="422"/>
    </row>
    <row r="4" spans="1:5" s="224" customFormat="1">
      <c r="A4" s="422" t="s">
        <v>74</v>
      </c>
      <c r="B4" s="422"/>
      <c r="C4" s="422"/>
      <c r="D4" s="422"/>
    </row>
    <row r="5" spans="1:5" s="224" customFormat="1">
      <c r="A5" s="423" t="s">
        <v>253</v>
      </c>
      <c r="B5" s="423"/>
      <c r="C5" s="423"/>
      <c r="D5" s="423"/>
    </row>
    <row r="6" spans="1:5" s="224" customFormat="1">
      <c r="A6" s="424" t="s">
        <v>254</v>
      </c>
      <c r="B6" s="424"/>
      <c r="C6" s="424"/>
      <c r="D6" s="424"/>
    </row>
    <row r="7" spans="1:5">
      <c r="A7" s="420" t="s">
        <v>15</v>
      </c>
      <c r="B7" s="420" t="s">
        <v>12</v>
      </c>
      <c r="C7" s="420" t="s">
        <v>13</v>
      </c>
      <c r="D7" s="420" t="s">
        <v>12</v>
      </c>
      <c r="E7" s="225"/>
    </row>
    <row r="8" spans="1:5">
      <c r="A8" s="421"/>
      <c r="B8" s="421"/>
      <c r="C8" s="421"/>
      <c r="D8" s="421"/>
      <c r="E8" s="225"/>
    </row>
    <row r="9" spans="1:5">
      <c r="A9" s="226" t="s">
        <v>95</v>
      </c>
      <c r="B9" s="227">
        <v>1</v>
      </c>
      <c r="C9" s="228" t="s">
        <v>97</v>
      </c>
      <c r="D9" s="227">
        <v>1</v>
      </c>
      <c r="E9" s="225"/>
    </row>
    <row r="10" spans="1:5">
      <c r="A10" s="226" t="s">
        <v>243</v>
      </c>
      <c r="B10" s="227">
        <v>1</v>
      </c>
      <c r="C10" s="228" t="s">
        <v>98</v>
      </c>
      <c r="D10" s="227">
        <v>1</v>
      </c>
      <c r="E10" s="225"/>
    </row>
    <row r="11" spans="1:5">
      <c r="A11" s="226" t="s">
        <v>96</v>
      </c>
      <c r="B11" s="227">
        <v>1</v>
      </c>
      <c r="C11" s="229"/>
      <c r="D11" s="229"/>
      <c r="E11" s="225"/>
    </row>
    <row r="12" spans="1:5">
      <c r="B12" s="63"/>
    </row>
  </sheetData>
  <mergeCells count="10">
    <mergeCell ref="A7:A8"/>
    <mergeCell ref="B7:B8"/>
    <mergeCell ref="C7:C8"/>
    <mergeCell ref="D7:D8"/>
    <mergeCell ref="A1:D1"/>
    <mergeCell ref="A2:D2"/>
    <mergeCell ref="A3:D3"/>
    <mergeCell ref="A4:D4"/>
    <mergeCell ref="A5:D5"/>
    <mergeCell ref="A6:D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22"/>
  <sheetViews>
    <sheetView workbookViewId="0">
      <selection activeCell="F14" sqref="F14"/>
    </sheetView>
  </sheetViews>
  <sheetFormatPr defaultRowHeight="15"/>
  <cols>
    <col min="1" max="1" width="26.140625" style="48" customWidth="1"/>
    <col min="2" max="2" width="17.140625" style="48" customWidth="1"/>
    <col min="3" max="3" width="34.28515625" style="48" customWidth="1"/>
    <col min="4" max="4" width="14.7109375" style="48" customWidth="1"/>
    <col min="5" max="16384" width="9.140625" style="48"/>
  </cols>
  <sheetData>
    <row r="1" spans="1:5" s="224" customFormat="1" ht="33.75" customHeight="1">
      <c r="A1" s="422" t="s">
        <v>94</v>
      </c>
      <c r="B1" s="422"/>
      <c r="C1" s="422"/>
      <c r="D1" s="422"/>
    </row>
    <row r="2" spans="1:5" s="224" customFormat="1" ht="39.75" customHeight="1">
      <c r="A2" s="422" t="s">
        <v>201</v>
      </c>
      <c r="B2" s="422"/>
      <c r="C2" s="422"/>
      <c r="D2" s="422"/>
    </row>
    <row r="3" spans="1:5" s="224" customFormat="1" ht="24" customHeight="1">
      <c r="A3" s="422" t="s">
        <v>14</v>
      </c>
      <c r="B3" s="422"/>
      <c r="C3" s="422"/>
      <c r="D3" s="422"/>
    </row>
    <row r="4" spans="1:5" s="224" customFormat="1" ht="24" customHeight="1">
      <c r="A4" s="422" t="s">
        <v>74</v>
      </c>
      <c r="B4" s="422"/>
      <c r="C4" s="422"/>
      <c r="D4" s="422"/>
    </row>
    <row r="5" spans="1:5" s="224" customFormat="1" ht="24" customHeight="1">
      <c r="A5" s="423" t="s">
        <v>200</v>
      </c>
      <c r="B5" s="423"/>
      <c r="C5" s="423"/>
      <c r="D5" s="423"/>
    </row>
    <row r="6" spans="1:5" s="224" customFormat="1" ht="24" customHeight="1">
      <c r="A6" s="424" t="s">
        <v>255</v>
      </c>
      <c r="B6" s="424"/>
      <c r="C6" s="424"/>
      <c r="D6" s="424"/>
    </row>
    <row r="7" spans="1:5" ht="41.25" customHeight="1">
      <c r="A7" s="425" t="s">
        <v>15</v>
      </c>
      <c r="B7" s="425" t="s">
        <v>12</v>
      </c>
      <c r="C7" s="425" t="s">
        <v>13</v>
      </c>
      <c r="D7" s="425" t="s">
        <v>12</v>
      </c>
      <c r="E7" s="225"/>
    </row>
    <row r="8" spans="1:5" ht="30" customHeight="1">
      <c r="A8" s="425"/>
      <c r="B8" s="425"/>
      <c r="C8" s="425"/>
      <c r="D8" s="425"/>
      <c r="E8" s="225"/>
    </row>
    <row r="9" spans="1:5" ht="30" customHeight="1">
      <c r="A9" s="226" t="s">
        <v>204</v>
      </c>
      <c r="B9" s="227">
        <v>1</v>
      </c>
      <c r="C9" s="228" t="s">
        <v>247</v>
      </c>
      <c r="D9" s="227">
        <v>1</v>
      </c>
      <c r="E9" s="225"/>
    </row>
    <row r="10" spans="1:5" ht="31.5">
      <c r="A10" s="230" t="s">
        <v>205</v>
      </c>
      <c r="B10" s="227">
        <v>1</v>
      </c>
      <c r="C10" s="231" t="s">
        <v>250</v>
      </c>
      <c r="D10" s="210">
        <v>1</v>
      </c>
      <c r="E10" s="225"/>
    </row>
    <row r="11" spans="1:5" ht="26.25" customHeight="1">
      <c r="A11" s="230" t="s">
        <v>206</v>
      </c>
      <c r="B11" s="227">
        <v>1</v>
      </c>
      <c r="C11" s="232"/>
      <c r="D11" s="233"/>
      <c r="E11" s="225"/>
    </row>
    <row r="12" spans="1:5" ht="30" customHeight="1">
      <c r="A12" s="230" t="s">
        <v>207</v>
      </c>
      <c r="B12" s="227">
        <v>1</v>
      </c>
      <c r="C12" s="228"/>
      <c r="D12" s="227"/>
      <c r="E12" s="225"/>
    </row>
    <row r="13" spans="1:5" ht="30.75" customHeight="1">
      <c r="A13" s="230" t="s">
        <v>208</v>
      </c>
      <c r="B13" s="227">
        <v>3</v>
      </c>
      <c r="C13" s="229"/>
      <c r="D13" s="227"/>
      <c r="E13" s="225"/>
    </row>
    <row r="14" spans="1:5" ht="15.75">
      <c r="A14" s="230" t="s">
        <v>209</v>
      </c>
      <c r="B14" s="234">
        <v>3</v>
      </c>
      <c r="C14" s="229"/>
      <c r="D14" s="229"/>
    </row>
    <row r="15" spans="1:5" ht="15.75">
      <c r="A15" s="230" t="s">
        <v>238</v>
      </c>
      <c r="B15" s="234">
        <v>1</v>
      </c>
      <c r="C15" s="229"/>
      <c r="D15" s="229"/>
    </row>
    <row r="16" spans="1:5" ht="31.5">
      <c r="A16" s="230" t="s">
        <v>205</v>
      </c>
      <c r="B16" s="234">
        <v>1</v>
      </c>
      <c r="C16" s="229"/>
      <c r="D16" s="229"/>
    </row>
    <row r="17" spans="1:4" ht="15.75">
      <c r="A17" s="230" t="s">
        <v>241</v>
      </c>
      <c r="B17" s="234">
        <v>1</v>
      </c>
      <c r="C17" s="229"/>
      <c r="D17" s="229"/>
    </row>
    <row r="18" spans="1:4" ht="15.75">
      <c r="A18" s="235" t="s">
        <v>219</v>
      </c>
      <c r="B18" s="227">
        <v>1</v>
      </c>
      <c r="C18" s="236"/>
      <c r="D18" s="236"/>
    </row>
    <row r="19" spans="1:4" ht="31.5">
      <c r="A19" s="235" t="s">
        <v>220</v>
      </c>
      <c r="B19" s="227">
        <v>1</v>
      </c>
      <c r="C19" s="236"/>
      <c r="D19" s="236"/>
    </row>
    <row r="20" spans="1:4" ht="45">
      <c r="A20" s="237" t="s">
        <v>221</v>
      </c>
      <c r="B20" s="234">
        <v>1</v>
      </c>
      <c r="C20" s="229"/>
      <c r="D20" s="229"/>
    </row>
    <row r="21" spans="1:4">
      <c r="A21" s="229" t="s">
        <v>246</v>
      </c>
      <c r="B21" s="236">
        <v>1</v>
      </c>
      <c r="C21" s="229"/>
      <c r="D21" s="229"/>
    </row>
    <row r="22" spans="1:4">
      <c r="B22" s="63"/>
    </row>
  </sheetData>
  <mergeCells count="10">
    <mergeCell ref="A6:D6"/>
    <mergeCell ref="A7:A8"/>
    <mergeCell ref="C7:C8"/>
    <mergeCell ref="D7:D8"/>
    <mergeCell ref="B7:B8"/>
    <mergeCell ref="A1:D1"/>
    <mergeCell ref="A2:D2"/>
    <mergeCell ref="A3:D3"/>
    <mergeCell ref="A4:D4"/>
    <mergeCell ref="A5:D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25"/>
  <sheetViews>
    <sheetView topLeftCell="A13" workbookViewId="0">
      <selection activeCell="H17" sqref="H17"/>
    </sheetView>
  </sheetViews>
  <sheetFormatPr defaultRowHeight="15"/>
  <cols>
    <col min="1" max="1" width="45.140625" style="48" customWidth="1"/>
    <col min="2" max="2" width="17.140625" style="48" customWidth="1"/>
    <col min="3" max="3" width="34.28515625" style="48" customWidth="1"/>
    <col min="4" max="4" width="14.7109375" style="48" customWidth="1"/>
    <col min="5" max="16384" width="9.140625" style="48"/>
  </cols>
  <sheetData>
    <row r="1" spans="1:5" s="224" customFormat="1" ht="33.75" customHeight="1">
      <c r="A1" s="422" t="s">
        <v>94</v>
      </c>
      <c r="B1" s="422"/>
      <c r="C1" s="422"/>
      <c r="D1" s="422"/>
    </row>
    <row r="2" spans="1:5" s="224" customFormat="1" ht="24" customHeight="1">
      <c r="A2" s="422" t="s">
        <v>202</v>
      </c>
      <c r="B2" s="422"/>
      <c r="C2" s="422"/>
      <c r="D2" s="422"/>
    </row>
    <row r="3" spans="1:5" s="224" customFormat="1" ht="24" customHeight="1">
      <c r="A3" s="422" t="s">
        <v>14</v>
      </c>
      <c r="B3" s="422"/>
      <c r="C3" s="422"/>
      <c r="D3" s="422"/>
    </row>
    <row r="4" spans="1:5" s="224" customFormat="1" ht="24" customHeight="1">
      <c r="A4" s="422" t="s">
        <v>74</v>
      </c>
      <c r="B4" s="422"/>
      <c r="C4" s="422"/>
      <c r="D4" s="422"/>
    </row>
    <row r="5" spans="1:5" s="224" customFormat="1" ht="24" customHeight="1">
      <c r="A5" s="423" t="s">
        <v>200</v>
      </c>
      <c r="B5" s="423"/>
      <c r="C5" s="423"/>
      <c r="D5" s="423"/>
    </row>
    <row r="6" spans="1:5" s="224" customFormat="1" ht="24" customHeight="1">
      <c r="A6" s="424" t="s">
        <v>256</v>
      </c>
      <c r="B6" s="424"/>
      <c r="C6" s="424"/>
      <c r="D6" s="424"/>
    </row>
    <row r="7" spans="1:5" ht="41.25" customHeight="1">
      <c r="A7" s="420" t="s">
        <v>15</v>
      </c>
      <c r="B7" s="420" t="s">
        <v>12</v>
      </c>
      <c r="C7" s="420" t="s">
        <v>13</v>
      </c>
      <c r="D7" s="420" t="s">
        <v>12</v>
      </c>
      <c r="E7" s="225"/>
    </row>
    <row r="8" spans="1:5" ht="30" customHeight="1">
      <c r="A8" s="421"/>
      <c r="B8" s="421"/>
      <c r="C8" s="421"/>
      <c r="D8" s="421"/>
      <c r="E8" s="225"/>
    </row>
    <row r="9" spans="1:5" ht="30" customHeight="1">
      <c r="A9" s="238" t="s">
        <v>225</v>
      </c>
      <c r="B9" s="227">
        <v>1</v>
      </c>
      <c r="C9" s="238" t="s">
        <v>248</v>
      </c>
      <c r="D9" s="227">
        <v>1</v>
      </c>
      <c r="E9" s="225"/>
    </row>
    <row r="10" spans="1:5" ht="23.25" customHeight="1">
      <c r="A10" s="230" t="s">
        <v>227</v>
      </c>
      <c r="B10" s="227">
        <v>1</v>
      </c>
      <c r="C10" s="238" t="s">
        <v>249</v>
      </c>
      <c r="D10" s="227">
        <v>1</v>
      </c>
      <c r="E10" s="225"/>
    </row>
    <row r="11" spans="1:5" ht="26.25" customHeight="1">
      <c r="A11" s="238" t="s">
        <v>228</v>
      </c>
      <c r="B11" s="227">
        <v>1</v>
      </c>
      <c r="C11" s="238" t="s">
        <v>222</v>
      </c>
      <c r="D11" s="210">
        <v>1</v>
      </c>
      <c r="E11" s="225"/>
    </row>
    <row r="12" spans="1:5" ht="30" customHeight="1">
      <c r="A12" s="230" t="s">
        <v>229</v>
      </c>
      <c r="B12" s="227">
        <v>1</v>
      </c>
      <c r="C12" s="238" t="s">
        <v>223</v>
      </c>
      <c r="D12" s="227">
        <v>1</v>
      </c>
      <c r="E12" s="225"/>
    </row>
    <row r="13" spans="1:5" ht="30" customHeight="1">
      <c r="A13" s="239" t="s">
        <v>230</v>
      </c>
      <c r="B13" s="227">
        <v>1</v>
      </c>
      <c r="C13" s="238" t="s">
        <v>224</v>
      </c>
      <c r="D13" s="227">
        <v>1</v>
      </c>
      <c r="E13" s="225"/>
    </row>
    <row r="14" spans="1:5" ht="30" customHeight="1">
      <c r="A14" s="239" t="s">
        <v>231</v>
      </c>
      <c r="B14" s="227">
        <v>1</v>
      </c>
      <c r="C14" s="238" t="s">
        <v>226</v>
      </c>
      <c r="D14" s="227">
        <v>1</v>
      </c>
      <c r="E14" s="225"/>
    </row>
    <row r="15" spans="1:5" ht="30" customHeight="1">
      <c r="A15" s="230" t="s">
        <v>232</v>
      </c>
      <c r="B15" s="227">
        <v>1</v>
      </c>
      <c r="C15" s="240" t="s">
        <v>242</v>
      </c>
      <c r="D15" s="241">
        <v>1</v>
      </c>
      <c r="E15" s="225"/>
    </row>
    <row r="16" spans="1:5" ht="30" customHeight="1">
      <c r="A16" s="230" t="s">
        <v>233</v>
      </c>
      <c r="B16" s="227">
        <v>1</v>
      </c>
      <c r="C16" s="242" t="s">
        <v>245</v>
      </c>
      <c r="D16" s="241">
        <v>8</v>
      </c>
      <c r="E16" s="225"/>
    </row>
    <row r="17" spans="1:5" ht="30" customHeight="1">
      <c r="A17" s="230" t="s">
        <v>234</v>
      </c>
      <c r="B17" s="227">
        <v>7</v>
      </c>
      <c r="C17" s="243"/>
      <c r="D17" s="229"/>
      <c r="E17" s="225"/>
    </row>
    <row r="18" spans="1:5" ht="30" customHeight="1">
      <c r="A18" s="230" t="s">
        <v>235</v>
      </c>
      <c r="B18" s="227">
        <v>1</v>
      </c>
      <c r="C18" s="236"/>
      <c r="D18" s="236"/>
      <c r="E18" s="225"/>
    </row>
    <row r="19" spans="1:5" ht="30" customHeight="1">
      <c r="A19" s="230" t="s">
        <v>236</v>
      </c>
      <c r="B19" s="227">
        <v>1</v>
      </c>
      <c r="C19" s="229"/>
      <c r="D19" s="229"/>
      <c r="E19" s="225"/>
    </row>
    <row r="20" spans="1:5" ht="30" customHeight="1">
      <c r="A20" s="230" t="s">
        <v>237</v>
      </c>
      <c r="B20" s="227">
        <v>1</v>
      </c>
      <c r="C20" s="229"/>
      <c r="D20" s="229"/>
      <c r="E20" s="225"/>
    </row>
    <row r="21" spans="1:5" ht="30" customHeight="1">
      <c r="A21" s="230" t="s">
        <v>239</v>
      </c>
      <c r="B21" s="234">
        <v>1</v>
      </c>
      <c r="C21" s="229"/>
      <c r="D21" s="229"/>
      <c r="E21" s="225"/>
    </row>
    <row r="22" spans="1:5" ht="30" customHeight="1">
      <c r="A22" s="244" t="s">
        <v>240</v>
      </c>
      <c r="B22" s="234">
        <v>1</v>
      </c>
      <c r="C22" s="229"/>
      <c r="D22" s="229"/>
      <c r="E22" s="225"/>
    </row>
    <row r="23" spans="1:5" ht="30" customHeight="1">
      <c r="A23" s="240" t="s">
        <v>244</v>
      </c>
      <c r="B23" s="245">
        <v>1</v>
      </c>
      <c r="C23" s="229"/>
      <c r="D23" s="229"/>
      <c r="E23" s="225"/>
    </row>
    <row r="24" spans="1:5" ht="30" customHeight="1">
      <c r="A24" s="242" t="s">
        <v>236</v>
      </c>
      <c r="B24" s="245">
        <v>6</v>
      </c>
      <c r="C24" s="229"/>
      <c r="D24" s="229"/>
      <c r="E24" s="225"/>
    </row>
    <row r="25" spans="1:5">
      <c r="B25" s="63"/>
      <c r="D25" s="63"/>
    </row>
  </sheetData>
  <mergeCells count="10">
    <mergeCell ref="A7:A8"/>
    <mergeCell ref="B7:B8"/>
    <mergeCell ref="C7:C8"/>
    <mergeCell ref="D7:D8"/>
    <mergeCell ref="A1:D1"/>
    <mergeCell ref="A2:D2"/>
    <mergeCell ref="A3:D3"/>
    <mergeCell ref="A4:D4"/>
    <mergeCell ref="A5:D5"/>
    <mergeCell ref="A6:D6"/>
  </mergeCells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E20"/>
  <sheetViews>
    <sheetView workbookViewId="0">
      <selection activeCell="G11" sqref="G11"/>
    </sheetView>
  </sheetViews>
  <sheetFormatPr defaultRowHeight="15"/>
  <cols>
    <col min="1" max="1" width="27" style="48" customWidth="1"/>
    <col min="2" max="2" width="17.140625" style="48" customWidth="1"/>
    <col min="3" max="3" width="34.28515625" style="48" customWidth="1"/>
    <col min="4" max="4" width="14.7109375" style="48" customWidth="1"/>
    <col min="5" max="16384" width="9.140625" style="48"/>
  </cols>
  <sheetData>
    <row r="1" spans="1:5" s="224" customFormat="1" ht="33.75" customHeight="1">
      <c r="A1" s="422" t="s">
        <v>94</v>
      </c>
      <c r="B1" s="422"/>
      <c r="C1" s="422"/>
      <c r="D1" s="422"/>
    </row>
    <row r="2" spans="1:5" s="224" customFormat="1" ht="54" customHeight="1">
      <c r="A2" s="422" t="s">
        <v>203</v>
      </c>
      <c r="B2" s="422"/>
      <c r="C2" s="422"/>
      <c r="D2" s="422"/>
    </row>
    <row r="3" spans="1:5" s="224" customFormat="1" ht="24" customHeight="1">
      <c r="A3" s="422" t="s">
        <v>14</v>
      </c>
      <c r="B3" s="422"/>
      <c r="C3" s="422"/>
      <c r="D3" s="422"/>
    </row>
    <row r="4" spans="1:5" s="224" customFormat="1" ht="24" customHeight="1">
      <c r="A4" s="422" t="s">
        <v>74</v>
      </c>
      <c r="B4" s="422"/>
      <c r="C4" s="422"/>
      <c r="D4" s="422"/>
    </row>
    <row r="5" spans="1:5" s="224" customFormat="1" ht="24" customHeight="1">
      <c r="A5" s="423" t="s">
        <v>200</v>
      </c>
      <c r="B5" s="423"/>
      <c r="C5" s="423"/>
      <c r="D5" s="423"/>
    </row>
    <row r="6" spans="1:5" s="224" customFormat="1" ht="24" customHeight="1">
      <c r="A6" s="424" t="s">
        <v>257</v>
      </c>
      <c r="B6" s="424"/>
      <c r="C6" s="424"/>
      <c r="D6" s="424"/>
    </row>
    <row r="7" spans="1:5" ht="41.25" customHeight="1">
      <c r="A7" s="425" t="s">
        <v>15</v>
      </c>
      <c r="B7" s="425" t="s">
        <v>12</v>
      </c>
      <c r="C7" s="425" t="s">
        <v>13</v>
      </c>
      <c r="D7" s="425" t="s">
        <v>12</v>
      </c>
      <c r="E7" s="225"/>
    </row>
    <row r="8" spans="1:5" ht="30" customHeight="1">
      <c r="A8" s="425"/>
      <c r="B8" s="425"/>
      <c r="C8" s="425"/>
      <c r="D8" s="425"/>
      <c r="E8" s="225"/>
    </row>
    <row r="9" spans="1:5" ht="30" customHeight="1">
      <c r="A9" s="230" t="s">
        <v>210</v>
      </c>
      <c r="B9" s="246">
        <v>1</v>
      </c>
      <c r="C9" s="247" t="s">
        <v>251</v>
      </c>
      <c r="D9" s="246">
        <v>1</v>
      </c>
      <c r="E9" s="225"/>
    </row>
    <row r="10" spans="1:5" ht="30" customHeight="1">
      <c r="A10" s="230" t="s">
        <v>211</v>
      </c>
      <c r="B10" s="246">
        <v>1</v>
      </c>
      <c r="C10" s="65" t="s">
        <v>97</v>
      </c>
      <c r="D10" s="246">
        <v>1</v>
      </c>
      <c r="E10" s="225"/>
    </row>
    <row r="11" spans="1:5" ht="39" customHeight="1">
      <c r="A11" s="230" t="s">
        <v>212</v>
      </c>
      <c r="B11" s="246">
        <v>2</v>
      </c>
      <c r="C11" s="248" t="s">
        <v>215</v>
      </c>
      <c r="D11" s="246">
        <v>1</v>
      </c>
      <c r="E11" s="225"/>
    </row>
    <row r="12" spans="1:5" ht="26.25" customHeight="1">
      <c r="A12" s="230" t="s">
        <v>213</v>
      </c>
      <c r="B12" s="246">
        <v>2</v>
      </c>
      <c r="C12" s="230" t="s">
        <v>216</v>
      </c>
      <c r="D12" s="246">
        <v>1</v>
      </c>
      <c r="E12" s="225"/>
    </row>
    <row r="13" spans="1:5" ht="26.25" customHeight="1">
      <c r="A13" s="230" t="s">
        <v>214</v>
      </c>
      <c r="B13" s="246">
        <v>1</v>
      </c>
      <c r="C13" s="230" t="s">
        <v>217</v>
      </c>
      <c r="D13" s="246">
        <v>2</v>
      </c>
      <c r="E13" s="225"/>
    </row>
    <row r="14" spans="1:5" ht="26.25" customHeight="1">
      <c r="A14" s="248"/>
      <c r="B14" s="246"/>
      <c r="C14" s="230" t="s">
        <v>218</v>
      </c>
      <c r="D14" s="246">
        <v>1</v>
      </c>
      <c r="E14" s="225"/>
    </row>
    <row r="15" spans="1:5" ht="26.25" customHeight="1">
      <c r="A15" s="66"/>
      <c r="B15" s="67"/>
      <c r="C15" s="249"/>
      <c r="D15" s="250"/>
      <c r="E15" s="225"/>
    </row>
    <row r="16" spans="1:5" ht="15.75">
      <c r="A16" s="66"/>
      <c r="B16" s="67"/>
      <c r="C16" s="251"/>
      <c r="E16" s="225"/>
    </row>
    <row r="17" spans="1:5" ht="15.75">
      <c r="A17" s="66"/>
      <c r="B17" s="67"/>
      <c r="C17" s="252"/>
      <c r="E17" s="225"/>
    </row>
    <row r="18" spans="1:5">
      <c r="A18" s="251"/>
      <c r="B18" s="252"/>
      <c r="C18" s="251"/>
      <c r="E18" s="225"/>
    </row>
    <row r="19" spans="1:5">
      <c r="A19" s="251"/>
      <c r="B19" s="251"/>
      <c r="C19" s="251"/>
      <c r="E19" s="225"/>
    </row>
    <row r="20" spans="1:5">
      <c r="A20" s="251"/>
      <c r="B20" s="252"/>
      <c r="C20" s="251"/>
    </row>
  </sheetData>
  <mergeCells count="10">
    <mergeCell ref="A7:A8"/>
    <mergeCell ref="B7:B8"/>
    <mergeCell ref="C7:C8"/>
    <mergeCell ref="D7:D8"/>
    <mergeCell ref="A1:D1"/>
    <mergeCell ref="A2:D2"/>
    <mergeCell ref="A3:D3"/>
    <mergeCell ref="A4:D4"/>
    <mergeCell ref="A5:D5"/>
    <mergeCell ref="A6:D6"/>
  </mergeCell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23"/>
  <sheetViews>
    <sheetView workbookViewId="0">
      <selection activeCell="H26" sqref="H26"/>
    </sheetView>
  </sheetViews>
  <sheetFormatPr defaultRowHeight="15"/>
  <cols>
    <col min="1" max="1" width="21.42578125" style="48" customWidth="1"/>
    <col min="2" max="2" width="16.5703125" style="48" customWidth="1"/>
    <col min="3" max="3" width="21.5703125" style="48" customWidth="1"/>
    <col min="4" max="4" width="18.7109375" style="48" customWidth="1"/>
    <col min="5" max="5" width="17.7109375" style="48" customWidth="1"/>
    <col min="6" max="6" width="22.42578125" style="48" customWidth="1"/>
    <col min="7" max="7" width="24.42578125" style="48" customWidth="1"/>
    <col min="8" max="8" width="18.85546875" style="48" customWidth="1"/>
    <col min="9" max="16384" width="9.140625" style="48"/>
  </cols>
  <sheetData>
    <row r="1" spans="1:11" ht="15.75">
      <c r="A1" s="427" t="s">
        <v>16</v>
      </c>
      <c r="B1" s="427"/>
      <c r="C1" s="427"/>
      <c r="D1" s="427"/>
      <c r="E1" s="427"/>
      <c r="F1" s="427"/>
      <c r="G1" s="427"/>
      <c r="H1" s="427"/>
    </row>
    <row r="2" spans="1:11">
      <c r="J2" s="253">
        <v>1970</v>
      </c>
      <c r="K2" s="48" t="s">
        <v>199</v>
      </c>
    </row>
    <row r="3" spans="1:11">
      <c r="A3" s="254" t="s">
        <v>198</v>
      </c>
    </row>
    <row r="4" spans="1:11">
      <c r="A4" s="254" t="s">
        <v>190</v>
      </c>
      <c r="J4" s="63">
        <v>970</v>
      </c>
      <c r="K4" s="48" t="s">
        <v>134</v>
      </c>
    </row>
    <row r="5" spans="1:11">
      <c r="A5" s="254" t="s">
        <v>17</v>
      </c>
    </row>
    <row r="7" spans="1:11" ht="75" customHeight="1">
      <c r="A7" s="426" t="s">
        <v>18</v>
      </c>
      <c r="B7" s="426" t="s">
        <v>19</v>
      </c>
      <c r="C7" s="426" t="s">
        <v>20</v>
      </c>
      <c r="D7" s="426" t="s">
        <v>28</v>
      </c>
      <c r="E7" s="426" t="s">
        <v>197</v>
      </c>
      <c r="F7" s="426" t="s">
        <v>21</v>
      </c>
      <c r="G7" s="429" t="s">
        <v>29</v>
      </c>
      <c r="H7" s="426" t="s">
        <v>22</v>
      </c>
    </row>
    <row r="8" spans="1:11" ht="8.25" hidden="1" customHeight="1">
      <c r="A8" s="426"/>
      <c r="B8" s="426"/>
      <c r="C8" s="426"/>
      <c r="D8" s="426"/>
      <c r="E8" s="426"/>
      <c r="F8" s="426"/>
      <c r="G8" s="430"/>
      <c r="H8" s="426"/>
    </row>
    <row r="9" spans="1:11" hidden="1">
      <c r="A9" s="426"/>
      <c r="B9" s="426"/>
      <c r="C9" s="426"/>
      <c r="D9" s="426"/>
      <c r="E9" s="426"/>
      <c r="F9" s="426"/>
      <c r="G9" s="431"/>
      <c r="H9" s="426"/>
    </row>
    <row r="10" spans="1:11">
      <c r="A10" s="426">
        <v>1</v>
      </c>
      <c r="B10" s="426">
        <v>2</v>
      </c>
      <c r="C10" s="426">
        <v>3</v>
      </c>
      <c r="D10" s="426" t="s">
        <v>25</v>
      </c>
      <c r="E10" s="426">
        <v>5</v>
      </c>
      <c r="F10" s="426" t="s">
        <v>23</v>
      </c>
      <c r="G10" s="426" t="s">
        <v>27</v>
      </c>
      <c r="H10" s="426" t="s">
        <v>26</v>
      </c>
    </row>
    <row r="11" spans="1:11" ht="14.25" customHeight="1">
      <c r="A11" s="426"/>
      <c r="B11" s="426"/>
      <c r="C11" s="426"/>
      <c r="D11" s="426"/>
      <c r="E11" s="426"/>
      <c r="F11" s="426"/>
      <c r="G11" s="426"/>
      <c r="H11" s="426"/>
    </row>
    <row r="12" spans="1:11">
      <c r="A12" s="226" t="s">
        <v>95</v>
      </c>
      <c r="B12" s="255">
        <v>29438</v>
      </c>
      <c r="C12" s="227">
        <v>1</v>
      </c>
      <c r="D12" s="256">
        <f>C12*1974</f>
        <v>1974</v>
      </c>
      <c r="E12" s="257">
        <v>96900</v>
      </c>
      <c r="F12" s="258">
        <f>D12/E12</f>
        <v>2.0371517027863776E-2</v>
      </c>
      <c r="G12" s="258">
        <f>B12*12*1.302/1974</f>
        <v>232.99863829787236</v>
      </c>
      <c r="H12" s="259">
        <f>F12*G12</f>
        <v>4.7465357275541793</v>
      </c>
    </row>
    <row r="13" spans="1:11" ht="30">
      <c r="A13" s="226" t="s">
        <v>99</v>
      </c>
      <c r="B13" s="255">
        <v>12215</v>
      </c>
      <c r="C13" s="227">
        <v>1</v>
      </c>
      <c r="D13" s="260">
        <f>C13*1974</f>
        <v>1974</v>
      </c>
      <c r="E13" s="257">
        <v>96900</v>
      </c>
      <c r="F13" s="258">
        <f>D13/E13</f>
        <v>2.0371517027863776E-2</v>
      </c>
      <c r="G13" s="258">
        <f>B13*12*1.302/1974</f>
        <v>96.680425531914892</v>
      </c>
      <c r="H13" s="259">
        <f>F13*G13</f>
        <v>1.9695269349845199</v>
      </c>
    </row>
    <row r="14" spans="1:11">
      <c r="A14" s="226"/>
      <c r="B14" s="255"/>
      <c r="C14" s="227"/>
      <c r="D14" s="256"/>
      <c r="E14" s="257"/>
      <c r="F14" s="258"/>
      <c r="G14" s="258"/>
      <c r="H14" s="259"/>
    </row>
    <row r="15" spans="1:11" ht="30">
      <c r="A15" s="226" t="s">
        <v>96</v>
      </c>
      <c r="B15" s="255">
        <v>12215</v>
      </c>
      <c r="C15" s="227">
        <v>1</v>
      </c>
      <c r="D15" s="260">
        <f>C15*1974</f>
        <v>1974</v>
      </c>
      <c r="E15" s="257">
        <v>96900</v>
      </c>
      <c r="F15" s="258">
        <f>D15/E15</f>
        <v>2.0371517027863776E-2</v>
      </c>
      <c r="G15" s="258">
        <f>B15*12*1.302/1974</f>
        <v>96.680425531914892</v>
      </c>
      <c r="H15" s="259">
        <f>F15*G15</f>
        <v>1.9695269349845199</v>
      </c>
    </row>
    <row r="16" spans="1:11">
      <c r="A16" s="226"/>
      <c r="B16" s="255"/>
      <c r="C16" s="227"/>
      <c r="D16" s="256"/>
      <c r="E16" s="257"/>
      <c r="F16" s="258"/>
      <c r="G16" s="258"/>
      <c r="H16" s="259"/>
    </row>
    <row r="17" spans="1:8">
      <c r="A17" s="261"/>
      <c r="B17" s="262"/>
      <c r="C17" s="263"/>
      <c r="D17" s="256"/>
      <c r="E17" s="257"/>
      <c r="F17" s="258">
        <f>F12+F13+F14+F15+F16</f>
        <v>6.1114551083591331E-2</v>
      </c>
      <c r="G17" s="258"/>
      <c r="H17" s="259"/>
    </row>
    <row r="18" spans="1:8">
      <c r="A18" s="428" t="s">
        <v>24</v>
      </c>
      <c r="B18" s="428"/>
      <c r="C18" s="428"/>
      <c r="D18" s="428"/>
      <c r="E18" s="428"/>
      <c r="F18" s="428"/>
      <c r="G18" s="428"/>
      <c r="H18" s="264">
        <f>SUM(H12:H16)</f>
        <v>8.6855895975232187</v>
      </c>
    </row>
    <row r="20" spans="1:8">
      <c r="B20" s="265">
        <f>B12+B13+B14+B15+B16</f>
        <v>53868</v>
      </c>
      <c r="C20" s="48">
        <f>C12+C13+C14+C15+C16</f>
        <v>3</v>
      </c>
    </row>
    <row r="21" spans="1:8">
      <c r="B21" s="48">
        <v>211</v>
      </c>
      <c r="C21" s="265">
        <f>B20*C20*12</f>
        <v>1939248</v>
      </c>
    </row>
    <row r="22" spans="1:8">
      <c r="B22" s="48">
        <v>213</v>
      </c>
      <c r="C22" s="265">
        <f>C21*30.2%</f>
        <v>585652.89599999995</v>
      </c>
    </row>
    <row r="23" spans="1:8">
      <c r="B23" s="48" t="s">
        <v>108</v>
      </c>
      <c r="C23" s="265">
        <f>C21+C22</f>
        <v>2524900.8959999997</v>
      </c>
    </row>
  </sheetData>
  <mergeCells count="18">
    <mergeCell ref="A18:G18"/>
    <mergeCell ref="G10:G11"/>
    <mergeCell ref="D7:D9"/>
    <mergeCell ref="E7:E9"/>
    <mergeCell ref="G7:G9"/>
    <mergeCell ref="A7:A9"/>
    <mergeCell ref="B7:B9"/>
    <mergeCell ref="C7:C9"/>
    <mergeCell ref="F7:F9"/>
    <mergeCell ref="A10:A11"/>
    <mergeCell ref="B10:B11"/>
    <mergeCell ref="C10:C11"/>
    <mergeCell ref="D10:D11"/>
    <mergeCell ref="E10:E11"/>
    <mergeCell ref="A1:H1"/>
    <mergeCell ref="F10:F11"/>
    <mergeCell ref="H10:H11"/>
    <mergeCell ref="H7:H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17</vt:i4>
      </vt:variant>
    </vt:vector>
  </HeadingPairs>
  <TitlesOfParts>
    <vt:vector size="17" baseType="lpstr">
      <vt:lpstr>УСЛУГА </vt:lpstr>
      <vt:lpstr>Работа 1</vt:lpstr>
      <vt:lpstr>Работа 2</vt:lpstr>
      <vt:lpstr>Работа 3</vt:lpstr>
      <vt:lpstr>общие сведенья (показ фильма</vt:lpstr>
      <vt:lpstr>общие сведения1</vt:lpstr>
      <vt:lpstr>общие сведения 2</vt:lpstr>
      <vt:lpstr>общие сведения 3</vt:lpstr>
      <vt:lpstr>211,213 непосред. связан. усл</vt:lpstr>
      <vt:lpstr>мат запасы и ОЦДИ</vt:lpstr>
      <vt:lpstr>иные затраты</vt:lpstr>
      <vt:lpstr>комунальные услуги</vt:lpstr>
      <vt:lpstr>затраты на содер недвиж имущ</vt:lpstr>
      <vt:lpstr>221, на содер ОЦДИ</vt:lpstr>
      <vt:lpstr>222 (транст)</vt:lpstr>
      <vt:lpstr>211,213 не связанные с оказ усл</vt:lpstr>
      <vt:lpstr>общехоз нужды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Евгеньевна Федина</dc:creator>
  <cp:lastModifiedBy>Инёшина Л.В.</cp:lastModifiedBy>
  <dcterms:created xsi:type="dcterms:W3CDTF">2015-12-11T05:43:49Z</dcterms:created>
  <dcterms:modified xsi:type="dcterms:W3CDTF">2024-03-20T10:07:05Z</dcterms:modified>
</cp:coreProperties>
</file>