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60" windowWidth="19440" windowHeight="12345" tabRatio="964" firstSheet="9" activeTab="19"/>
  </bookViews>
  <sheets>
    <sheet name="УСЛУГА " sheetId="1" r:id="rId1"/>
    <sheet name="Работа 1 " sheetId="13" r:id="rId2"/>
    <sheet name="общие сведения" sheetId="2" r:id="rId3"/>
    <sheet name="211,213 непосред. связан. усл" sheetId="3" r:id="rId4"/>
    <sheet name="211,213 непосред. связан.работы" sheetId="16" r:id="rId5"/>
    <sheet name="общие сведения (2)" sheetId="29" r:id="rId6"/>
    <sheet name="мат запасы и ОЦДИ" sheetId="27" r:id="rId7"/>
    <sheet name="мат запасы и ОЦДИ работы" sheetId="4" r:id="rId8"/>
    <sheet name="иные затраты" sheetId="14" r:id="rId9"/>
    <sheet name="иные затраты Работы" sheetId="17" r:id="rId10"/>
    <sheet name="комунальные услуги" sheetId="5" r:id="rId11"/>
    <sheet name="ком.услуги работы" sheetId="18" r:id="rId12"/>
    <sheet name="221, на содер ОЦДИ" sheetId="7" r:id="rId13"/>
    <sheet name="221, на содер ОЦДИ работы" sheetId="26" r:id="rId14"/>
    <sheet name="222 (транст)" sheetId="8" r:id="rId15"/>
    <sheet name="211,213 не связанные с оказ усл" sheetId="9" r:id="rId16"/>
    <sheet name="211,213 не связан. работы" sheetId="21" r:id="rId17"/>
    <sheet name="общехоз нужды" sheetId="11" r:id="rId18"/>
    <sheet name="общехоз нужды (раб)" sheetId="23" r:id="rId19"/>
    <sheet name="Приложение новое" sheetId="25" r:id="rId20"/>
  </sheets>
  <externalReferences>
    <externalReference r:id="rId21"/>
    <externalReference r:id="rId22"/>
    <externalReference r:id="rId23"/>
  </externalReferences>
  <definedNames>
    <definedName name="_xlnm.Print_Area" localSheetId="19">'Приложение новое'!$A$1:$D$87</definedName>
  </definedNames>
  <calcPr calcId="125725"/>
</workbook>
</file>

<file path=xl/calcChain.xml><?xml version="1.0" encoding="utf-8"?>
<calcChain xmlns="http://schemas.openxmlformats.org/spreadsheetml/2006/main">
  <c r="D10" i="26"/>
  <c r="I8"/>
  <c r="D16" i="17"/>
  <c r="F5" i="7" l="1"/>
  <c r="I5"/>
  <c r="B5" i="29"/>
  <c r="D20" i="25"/>
  <c r="D19" s="1"/>
  <c r="D30"/>
  <c r="D29" s="1"/>
  <c r="D21"/>
  <c r="D6" i="29" l="1"/>
  <c r="B11"/>
  <c r="B9"/>
  <c r="D8"/>
  <c r="D6" i="8"/>
  <c r="D5"/>
  <c r="E8" i="27" l="1"/>
  <c r="D6" i="23"/>
  <c r="D5" i="11"/>
  <c r="B8" i="21"/>
  <c r="B7"/>
  <c r="B6"/>
  <c r="B10" i="9"/>
  <c r="B9"/>
  <c r="B8"/>
  <c r="B7"/>
  <c r="B6"/>
  <c r="B5"/>
  <c r="D9" i="29"/>
  <c r="F8" i="7"/>
  <c r="I8" s="1"/>
  <c r="C10" i="18"/>
  <c r="C11"/>
  <c r="C12"/>
  <c r="D11" i="5"/>
  <c r="D12"/>
  <c r="D10"/>
  <c r="D9"/>
  <c r="C11"/>
  <c r="C12"/>
  <c r="C10"/>
  <c r="C9"/>
  <c r="D13" i="17"/>
  <c r="D12"/>
  <c r="D11"/>
  <c r="D10"/>
  <c r="E8" i="4"/>
  <c r="D10" i="14"/>
  <c r="D13"/>
  <c r="D9"/>
  <c r="D11"/>
  <c r="D12"/>
  <c r="D8"/>
  <c r="D7"/>
  <c r="D6"/>
  <c r="D5"/>
  <c r="C7" i="27"/>
  <c r="E7" s="1"/>
  <c r="B16" i="16"/>
  <c r="H16" s="1"/>
  <c r="B15"/>
  <c r="H15" s="1"/>
  <c r="B14"/>
  <c r="H14" s="1"/>
  <c r="B13"/>
  <c r="H13" s="1"/>
  <c r="I13" s="1"/>
  <c r="E16"/>
  <c r="E15"/>
  <c r="E14"/>
  <c r="E13"/>
  <c r="E17" i="3"/>
  <c r="E16"/>
  <c r="E15"/>
  <c r="E14"/>
  <c r="E13"/>
  <c r="E12"/>
  <c r="B17"/>
  <c r="H17" s="1"/>
  <c r="B16"/>
  <c r="H16" s="1"/>
  <c r="B15"/>
  <c r="H15" s="1"/>
  <c r="B13"/>
  <c r="H13" s="1"/>
  <c r="B12"/>
  <c r="H12" s="1"/>
  <c r="G11" i="5" l="1"/>
  <c r="I11" s="1"/>
  <c r="C10" i="4"/>
  <c r="H8" i="27"/>
  <c r="C10"/>
  <c r="F9" i="1" s="1"/>
  <c r="F7" i="26"/>
  <c r="I7" s="1"/>
  <c r="H17" i="13"/>
  <c r="F7" i="7"/>
  <c r="F6" i="26"/>
  <c r="I6" s="1"/>
  <c r="F5"/>
  <c r="I5" s="1"/>
  <c r="H5" i="8"/>
  <c r="F9" i="7"/>
  <c r="D12" i="18"/>
  <c r="D11"/>
  <c r="H11"/>
  <c r="H10"/>
  <c r="D10"/>
  <c r="G9" i="5"/>
  <c r="I9" s="1"/>
  <c r="G12" i="3"/>
  <c r="B14"/>
  <c r="H14" s="1"/>
  <c r="D85" i="25"/>
  <c r="D84"/>
  <c r="D83"/>
  <c r="D82"/>
  <c r="D80"/>
  <c r="D76"/>
  <c r="D75"/>
  <c r="D71"/>
  <c r="D68"/>
  <c r="D65"/>
  <c r="D61"/>
  <c r="D56"/>
  <c r="D55"/>
  <c r="D53"/>
  <c r="D52"/>
  <c r="D51"/>
  <c r="D43"/>
  <c r="D41"/>
  <c r="D40"/>
  <c r="D39"/>
  <c r="D38"/>
  <c r="D37"/>
  <c r="D36"/>
  <c r="D35"/>
  <c r="D34"/>
  <c r="D33"/>
  <c r="D28"/>
  <c r="D27"/>
  <c r="D44" l="1"/>
  <c r="I7" i="7"/>
  <c r="D12" i="3"/>
  <c r="D16" i="14"/>
  <c r="B7" i="29" s="1"/>
  <c r="D15" i="5"/>
  <c r="D7" i="29"/>
  <c r="F20" i="1"/>
  <c r="D32" i="25"/>
  <c r="D26"/>
  <c r="D77"/>
  <c r="D74"/>
  <c r="D79"/>
  <c r="D81"/>
  <c r="D42"/>
  <c r="D64"/>
  <c r="D70"/>
  <c r="C9" i="21"/>
  <c r="C11" i="9"/>
  <c r="D10"/>
  <c r="D9"/>
  <c r="D8"/>
  <c r="D7"/>
  <c r="D6"/>
  <c r="D5"/>
  <c r="D17" i="3"/>
  <c r="D15"/>
  <c r="D16"/>
  <c r="D14"/>
  <c r="D13"/>
  <c r="G6" i="23"/>
  <c r="I6" s="1"/>
  <c r="I7" s="1"/>
  <c r="F14" i="1" l="1"/>
  <c r="B8" i="29"/>
  <c r="D31" i="25"/>
  <c r="D17" s="1"/>
  <c r="D73"/>
  <c r="D18"/>
  <c r="G16" i="9"/>
  <c r="D11"/>
  <c r="C16" s="1"/>
  <c r="D18" i="3"/>
  <c r="H11" i="13"/>
  <c r="D8" i="23"/>
  <c r="H20" i="13" l="1"/>
  <c r="D10" i="29"/>
  <c r="C23" i="3"/>
  <c r="C24" s="1"/>
  <c r="C25" s="1"/>
  <c r="F7" i="1" s="1"/>
  <c r="G25" i="3"/>
  <c r="C17" i="9"/>
  <c r="D8" i="21"/>
  <c r="D7"/>
  <c r="G8"/>
  <c r="G7"/>
  <c r="G6"/>
  <c r="D32" i="18"/>
  <c r="G29"/>
  <c r="I29" s="1"/>
  <c r="G28"/>
  <c r="I28" s="1"/>
  <c r="G27"/>
  <c r="I27" s="1"/>
  <c r="D15"/>
  <c r="H13" i="13" s="1"/>
  <c r="G12" i="18"/>
  <c r="I12" s="1"/>
  <c r="G11"/>
  <c r="I11" s="1"/>
  <c r="G10"/>
  <c r="I10" s="1"/>
  <c r="G9" i="17"/>
  <c r="I9" s="1"/>
  <c r="G8"/>
  <c r="I8" s="1"/>
  <c r="G7"/>
  <c r="I7" s="1"/>
  <c r="G6"/>
  <c r="I6" s="1"/>
  <c r="C17" i="16"/>
  <c r="G16"/>
  <c r="G15"/>
  <c r="G14"/>
  <c r="G13"/>
  <c r="D13"/>
  <c r="C18" i="3"/>
  <c r="I14" i="17" l="1"/>
  <c r="C18" i="9"/>
  <c r="F24" i="1" s="1"/>
  <c r="I13" i="18"/>
  <c r="D6" i="21"/>
  <c r="B9"/>
  <c r="I14" i="16"/>
  <c r="D14"/>
  <c r="I15"/>
  <c r="D15"/>
  <c r="I16"/>
  <c r="D16"/>
  <c r="G17"/>
  <c r="H6" i="21"/>
  <c r="I6" s="1"/>
  <c r="H8"/>
  <c r="I8" s="1"/>
  <c r="H12" i="13"/>
  <c r="H7" i="21"/>
  <c r="I7" s="1"/>
  <c r="I30" i="18"/>
  <c r="B17" i="16"/>
  <c r="F26" i="1"/>
  <c r="F18"/>
  <c r="D9" i="8"/>
  <c r="I18" i="16" l="1"/>
  <c r="F11" i="1"/>
  <c r="C28" s="1"/>
  <c r="F22"/>
  <c r="C31" s="1"/>
  <c r="D17" i="16"/>
  <c r="C22" s="1"/>
  <c r="C23" s="1"/>
  <c r="D9" i="21"/>
  <c r="C14" s="1"/>
  <c r="I10"/>
  <c r="C34" i="1" l="1"/>
  <c r="C15" i="21"/>
  <c r="C24" i="16"/>
  <c r="H10" i="13" s="1"/>
  <c r="G9" i="14"/>
  <c r="I9" s="1"/>
  <c r="G7"/>
  <c r="I7" s="1"/>
  <c r="G8"/>
  <c r="I8" s="1"/>
  <c r="G6"/>
  <c r="I6" s="1"/>
  <c r="G5"/>
  <c r="I5" s="1"/>
  <c r="G5" i="11"/>
  <c r="I5" s="1"/>
  <c r="I6" s="1"/>
  <c r="H5" i="9"/>
  <c r="H6"/>
  <c r="H7"/>
  <c r="H8"/>
  <c r="H9"/>
  <c r="H10"/>
  <c r="G5"/>
  <c r="G6"/>
  <c r="G7"/>
  <c r="G8"/>
  <c r="G9"/>
  <c r="G10"/>
  <c r="G6" i="8"/>
  <c r="G5"/>
  <c r="H6"/>
  <c r="I5"/>
  <c r="F6" i="7"/>
  <c r="I6" s="1"/>
  <c r="I9"/>
  <c r="F10"/>
  <c r="I10" s="1"/>
  <c r="F11"/>
  <c r="I11" s="1"/>
  <c r="F12"/>
  <c r="I12" s="1"/>
  <c r="F13"/>
  <c r="I13" s="1"/>
  <c r="F14"/>
  <c r="I14" s="1"/>
  <c r="G10" i="5"/>
  <c r="I10" s="1"/>
  <c r="G12"/>
  <c r="I12" s="1"/>
  <c r="I6" i="8" l="1"/>
  <c r="I7" s="1"/>
  <c r="I14" i="14"/>
  <c r="I13" i="5"/>
  <c r="I15" i="7"/>
  <c r="C16" i="21"/>
  <c r="H19" i="13" s="1"/>
  <c r="G22" s="1"/>
  <c r="I10" i="9"/>
  <c r="I8"/>
  <c r="I6"/>
  <c r="I9"/>
  <c r="I7"/>
  <c r="I5"/>
  <c r="I12" l="1"/>
  <c r="G13" i="3"/>
  <c r="G14"/>
  <c r="G15"/>
  <c r="G16"/>
  <c r="G17"/>
  <c r="I12"/>
  <c r="I14" l="1"/>
  <c r="B18"/>
  <c r="I13"/>
  <c r="I15"/>
  <c r="G18"/>
  <c r="I16"/>
  <c r="I17"/>
  <c r="I19" l="1"/>
</calcChain>
</file>

<file path=xl/sharedStrings.xml><?xml version="1.0" encoding="utf-8"?>
<sst xmlns="http://schemas.openxmlformats.org/spreadsheetml/2006/main" count="596" uniqueCount="273">
  <si>
    <t>Ед. изм.</t>
  </si>
  <si>
    <t>1.2. Материальные запасы и ОЦДИ</t>
  </si>
  <si>
    <t>1.3. Иные нормы</t>
  </si>
  <si>
    <t>2. Нормы на общехозяйственные нужды</t>
  </si>
  <si>
    <t>2.1. Коммунальные услуги</t>
  </si>
  <si>
    <t>2.2. Содержание объектов недвижимого имущества</t>
  </si>
  <si>
    <t>2.3. Содержание объектов ОЦДИ</t>
  </si>
  <si>
    <t>2.4. Услуги связи</t>
  </si>
  <si>
    <t>2.5. Транспортные услуги</t>
  </si>
  <si>
    <t>2.7. Прочие общехозяйственные нужды</t>
  </si>
  <si>
    <t>Количество ставок</t>
  </si>
  <si>
    <t>Работники, непосредственно НЕ связанные с оказанием услуги</t>
  </si>
  <si>
    <r>
      <t>Содержание услуги 1</t>
    </r>
    <r>
      <rPr>
        <sz val="11"/>
        <color rgb="FF000000"/>
        <rFont val="Times New Roman"/>
        <family val="1"/>
        <charset val="204"/>
      </rPr>
      <t xml:space="preserve">: </t>
    </r>
  </si>
  <si>
    <t>Работники, непосредственно связанные с оказанием услуги</t>
  </si>
  <si>
    <t xml:space="preserve">Затраты на оплату труда (с начислениями) работников, непосредственно связанных с оказанием услуги </t>
  </si>
  <si>
    <t>Должности по штатному расписанию</t>
  </si>
  <si>
    <t>З/п на одну ставку (ФОТ)</t>
  </si>
  <si>
    <t>Кол-во ставок</t>
  </si>
  <si>
    <t>Норма трудозатрат на оказание  1 ед. услуги (человеко-часов)</t>
  </si>
  <si>
    <t>Нормативные затраты</t>
  </si>
  <si>
    <t>6 = 4 ÷ 5</t>
  </si>
  <si>
    <t>ИТОГО ОПЛАТА ТРУДА</t>
  </si>
  <si>
    <t>Количество затраченных человеко-часов (1 974 часа ×кол-во ставок)</t>
  </si>
  <si>
    <t>Материальные запасы и особо ценное движимое имущество (Используются укрупненные группы запасов и ОЦДИ для определения ресурсов)</t>
  </si>
  <si>
    <t>Наименование запасов и особо ценного движимого имущества по группам</t>
  </si>
  <si>
    <t>Ед. изм. нормы</t>
  </si>
  <si>
    <t xml:space="preserve">Нормативное количество мат. запасов, ОЦДИ </t>
  </si>
  <si>
    <t>Норма на 1 зрителя , (шт)</t>
  </si>
  <si>
    <t xml:space="preserve">Нормативные затраты </t>
  </si>
  <si>
    <t>ПРОЧЕЕ ИМУЩЕСТВО</t>
  </si>
  <si>
    <t>ИТОГО МАТ ЗАПАСЫ / ОЦДИ</t>
  </si>
  <si>
    <t>Срок полезного исп-я, лет(ПБУ)</t>
  </si>
  <si>
    <t>Цена 1 ед. ресурса, рублей</t>
  </si>
  <si>
    <t>Затраты на коммунальные услуги</t>
  </si>
  <si>
    <t>Наименование коммунальных услуг</t>
  </si>
  <si>
    <t>Норматив-ный объем</t>
  </si>
  <si>
    <t>Общее полезное время исп-я имущ. комплекса</t>
  </si>
  <si>
    <t>Норма ресурса на 1 ед. услуги</t>
  </si>
  <si>
    <t>Тариф (цена), рублей</t>
  </si>
  <si>
    <t>Электроэнергия</t>
  </si>
  <si>
    <t>Теплоэнергия</t>
  </si>
  <si>
    <t>ИТОГО КОММУНАЛЬНЫЕ УСЛУГИ</t>
  </si>
  <si>
    <t>Время исп-я имущ. комплекса на 1 зрителя</t>
  </si>
  <si>
    <r>
      <t xml:space="preserve">6 = 3 </t>
    </r>
    <r>
      <rPr>
        <sz val="11"/>
        <color rgb="FF000000"/>
        <rFont val="Arial"/>
        <family val="2"/>
        <charset val="204"/>
      </rPr>
      <t xml:space="preserve">÷ </t>
    </r>
    <r>
      <rPr>
        <sz val="11"/>
        <color rgb="FF000000"/>
        <rFont val="Times New Roman"/>
        <family val="1"/>
        <charset val="204"/>
      </rPr>
      <t xml:space="preserve">4 </t>
    </r>
    <r>
      <rPr>
        <sz val="11"/>
        <color rgb="FF000000"/>
        <rFont val="Arial"/>
        <family val="2"/>
        <charset val="204"/>
      </rPr>
      <t>× 5</t>
    </r>
  </si>
  <si>
    <r>
      <t xml:space="preserve">8 = 6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7</t>
    </r>
  </si>
  <si>
    <t>Наименование затрат</t>
  </si>
  <si>
    <t>Норма затрат на 1 ед. услуги</t>
  </si>
  <si>
    <t>договор</t>
  </si>
  <si>
    <t>Затраты на содержание объектов ОЦДИ, услуги связи</t>
  </si>
  <si>
    <t>Наименование услуг связи</t>
  </si>
  <si>
    <t>Месяцев</t>
  </si>
  <si>
    <t>Затраты на транспортные услуги</t>
  </si>
  <si>
    <t>Наименование транспортных услуг</t>
  </si>
  <si>
    <t>ИТОГО ТРАНСПОРТНЫЕ УСЛУГИ</t>
  </si>
  <si>
    <t xml:space="preserve">Затраты на оплату труда (с начислениями) работников, непосредственно НЕ связанных с оказанием услуги 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</si>
  <si>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</si>
  <si>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</si>
  <si>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</si>
  <si>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</si>
  <si>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</si>
  <si>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r>
      <t xml:space="preserve">9 = 6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7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8</t>
    </r>
  </si>
  <si>
    <t>Учреждение: Муниципальное бюджетное учреждение культуры "Эвенкийский краеведческий музей" ЭМР</t>
  </si>
  <si>
    <r>
      <t>Услуга</t>
    </r>
    <r>
      <rPr>
        <sz val="11"/>
        <color rgb="FF000000"/>
        <rFont val="Times New Roman"/>
        <family val="1"/>
        <charset val="204"/>
      </rPr>
      <t>: Публичный показ музейных предметов, музейных коллекций (07016000000000001006101)</t>
    </r>
  </si>
  <si>
    <r>
      <t>Содержание услуги 2</t>
    </r>
    <r>
      <rPr>
        <sz val="11"/>
        <color rgb="FF000000"/>
        <rFont val="Times New Roman"/>
        <family val="1"/>
        <charset val="204"/>
      </rPr>
      <t>: в стационарных условиях</t>
    </r>
  </si>
  <si>
    <t>Экскурсовод</t>
  </si>
  <si>
    <t>Методисты</t>
  </si>
  <si>
    <t>Научный сотрудник(филиалы)</t>
  </si>
  <si>
    <t>Смотрители</t>
  </si>
  <si>
    <t>Заведующий научно -просветительского отдела</t>
  </si>
  <si>
    <t xml:space="preserve">кассир </t>
  </si>
  <si>
    <t>директор (50%)</t>
  </si>
  <si>
    <t>заместитель (50%)</t>
  </si>
  <si>
    <t>ученый секретарь(50%)</t>
  </si>
  <si>
    <t>заведующая филиалом(50%)</t>
  </si>
  <si>
    <t>главный хранитель (50%)</t>
  </si>
  <si>
    <t>1. Нормы, непосредственно связанные с оказанием услуги</t>
  </si>
  <si>
    <t xml:space="preserve">Базовый норматив затрат на оказание i-ой государственной услуги </t>
  </si>
  <si>
    <t>Публичный показ музейных предметов, музейных коллекций</t>
  </si>
  <si>
    <t>Наименование услуги</t>
  </si>
  <si>
    <t>Уникальный номер реестровой записи</t>
  </si>
  <si>
    <t>07016000000000001006101</t>
  </si>
  <si>
    <t>1.1. Работники, непосредственно связанные с оказанием муниципальной услуги</t>
  </si>
  <si>
    <t>Заработная плата</t>
  </si>
  <si>
    <t>Арендная плата</t>
  </si>
  <si>
    <t>Водоснабжение</t>
  </si>
  <si>
    <t>Гкал (30%)</t>
  </si>
  <si>
    <t>кВт час.(70%)</t>
  </si>
  <si>
    <t>Время исп-я имущ. комплекса на 1 посетителя</t>
  </si>
  <si>
    <t>Поддержка почтового ящика</t>
  </si>
  <si>
    <t>Телефонная связь в пределах поселка</t>
  </si>
  <si>
    <t>Услуги ООО"Байкос-Искра"</t>
  </si>
  <si>
    <t>Интернет трафик</t>
  </si>
  <si>
    <t>Межгород</t>
  </si>
  <si>
    <t>Конверты</t>
  </si>
  <si>
    <t>Марки</t>
  </si>
  <si>
    <t>шт</t>
  </si>
  <si>
    <t>Мб</t>
  </si>
  <si>
    <t>мин</t>
  </si>
  <si>
    <t>Наем транспортных средств (лето)</t>
  </si>
  <si>
    <t>Наем транспортных средств (зима)</t>
  </si>
  <si>
    <t>Иные нужды</t>
  </si>
  <si>
    <t xml:space="preserve">шт </t>
  </si>
  <si>
    <t>Иные затраты, непосредственно связанные с оказанием  услуги</t>
  </si>
  <si>
    <t xml:space="preserve">ИТОГО ИНЫЕ ЗАТРАТЫ </t>
  </si>
  <si>
    <t>Оплата учебного проезда</t>
  </si>
  <si>
    <t>Командировочные расходы в части суточных</t>
  </si>
  <si>
    <t>Командировочные расходы в части проезда</t>
  </si>
  <si>
    <t>Командировочные расходы в части проживания</t>
  </si>
  <si>
    <t>Льготный проезд</t>
  </si>
  <si>
    <t>МБУК "ЭКМ"</t>
  </si>
  <si>
    <t>руб.</t>
  </si>
  <si>
    <t>Сумма</t>
  </si>
  <si>
    <t>приложение 2</t>
  </si>
  <si>
    <t>сумма</t>
  </si>
  <si>
    <t>Наименование работы "Формирование, учет, изучение, обеспечение физического сохранения безопасности музейных предметов, музейных коллекций"</t>
  </si>
  <si>
    <t>ИТОГО УСЛУГИ СВЯЗИ (30%)</t>
  </si>
  <si>
    <t>итого</t>
  </si>
  <si>
    <t>2.6. Заработная плата работников, не связанные с оказанием муниципальной услуги</t>
  </si>
  <si>
    <t>РАБОТА 1</t>
  </si>
  <si>
    <t>РАБОТА 2</t>
  </si>
  <si>
    <t xml:space="preserve">Главный хранитель фондов </t>
  </si>
  <si>
    <t>Заведующий филиалом</t>
  </si>
  <si>
    <t>Хранитель фондов</t>
  </si>
  <si>
    <t>Научный сотрудник отдела фондов</t>
  </si>
  <si>
    <t>З/п с учетом кол-ва ставок</t>
  </si>
  <si>
    <t>2*3</t>
  </si>
  <si>
    <t>Вневедомственная охрана</t>
  </si>
  <si>
    <t>кВт час.(20%)</t>
  </si>
  <si>
    <t>КОСГУ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</si>
  <si>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</si>
  <si>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</si>
  <si>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</si>
  <si>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</si>
  <si>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Увеличение стоимости основных средств</t>
  </si>
  <si>
    <t>Нормативные затраты на выполнение работ муниципального задания</t>
  </si>
  <si>
    <t>МБУК "Эвенкийский краеведческий музей"</t>
  </si>
  <si>
    <t>№ п/п</t>
  </si>
  <si>
    <t>Ед.изм.</t>
  </si>
  <si>
    <t>Затраты на оплату труда с начислениями на выплаты по оплате труда работников, непосредственно связанных с выполнением работы</t>
  </si>
  <si>
    <t>Затраты на приобретение материальных запасов и особо ценного движимого имущества, потребляемых (используемых) в процессе выполнения работы с учетом срока полезного использования (в том числе затраты на арендные платежи)</t>
  </si>
  <si>
    <t>Затраты на иные расходы, непосредственно связанные с выполнением работы</t>
  </si>
  <si>
    <t>Затраты на оплату коммунальных услуг</t>
  </si>
  <si>
    <t>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</si>
  <si>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Затраты на содержание объектов особо ценного движимого имущества и имущества, необходимого для выполнения муниципального задания</t>
  </si>
  <si>
    <t>Суммы резерва на полное восстановление состава объектов особо ценного движимого имущества, необходимого для общехозяйственных нужд, формируемого в установленном порядке в размере начисленной годовой суммы амортизации по указанному имуществу</t>
  </si>
  <si>
    <t>Затраты на приобретение услуг связи</t>
  </si>
  <si>
    <t>Затраты на приобретение транспортных услуг</t>
  </si>
  <si>
    <t>Затраты на оплату труда с начислениями на выплаты по оплате труда работников, которые не принимают непосредственного участия в выполнении работы</t>
  </si>
  <si>
    <t>ВСЕГО:</t>
  </si>
  <si>
    <t>специалист по экспозиционно-выставочной деятельности</t>
  </si>
  <si>
    <t>хранитель фондов (50 %)</t>
  </si>
  <si>
    <t>Научный сотрудник фондов (50%)</t>
  </si>
  <si>
    <t>заместитель директора по ООД(50%)</t>
  </si>
  <si>
    <t>Инспектор по кадрам</t>
  </si>
  <si>
    <t>специалист по информационным системам</t>
  </si>
  <si>
    <t>специалист по экспозиционно- выставочной деятельности</t>
  </si>
  <si>
    <r>
      <t xml:space="preserve">6 = 3 </t>
    </r>
    <r>
      <rPr>
        <sz val="11"/>
        <rFont val="Arial"/>
        <family val="2"/>
        <charset val="204"/>
      </rPr>
      <t xml:space="preserve">÷ </t>
    </r>
    <r>
      <rPr>
        <sz val="11"/>
        <rFont val="Times New Roman"/>
        <family val="1"/>
        <charset val="204"/>
      </rPr>
      <t xml:space="preserve">4 </t>
    </r>
    <r>
      <rPr>
        <sz val="11"/>
        <rFont val="Arial"/>
        <family val="2"/>
        <charset val="204"/>
      </rPr>
      <t>× 5</t>
    </r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</si>
  <si>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</si>
  <si>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r>
      <t>Штатное расписание</t>
    </r>
    <r>
      <rPr>
        <sz val="11"/>
        <rFont val="Times New Roman"/>
        <family val="1"/>
        <charset val="204"/>
      </rPr>
      <t>: 23,0 общие</t>
    </r>
  </si>
  <si>
    <t>Рекомендуемый метод распределения общ-х затрат: время использования имущ. Комплекса</t>
  </si>
  <si>
    <r>
      <t>м</t>
    </r>
    <r>
      <rPr>
        <vertAlign val="superscript"/>
        <sz val="11"/>
        <rFont val="Times New Roman"/>
        <family val="1"/>
        <charset val="204"/>
      </rPr>
      <t>3 (50%)</t>
    </r>
  </si>
  <si>
    <r>
      <t xml:space="preserve">Фонд заработной платы </t>
    </r>
    <r>
      <rPr>
        <sz val="11"/>
        <rFont val="Times New Roman"/>
        <family val="1"/>
        <charset val="204"/>
      </rPr>
      <t xml:space="preserve">– в соответствии со штатным расписанием (с учетом стимулирующих выплат) по каждой группе должностей. Начисления на ФОТ – коэффициент </t>
    </r>
    <r>
      <rPr>
        <b/>
        <sz val="11"/>
        <rFont val="Times New Roman"/>
        <family val="1"/>
        <charset val="204"/>
      </rPr>
      <t>1,302</t>
    </r>
  </si>
  <si>
    <t xml:space="preserve">А Н А Л И З   П Л А Н А   Ф И Н А Н С О В О-Х О З Я Й С Т В Е Н Н О Й Д Е Я Т Е Л Ь Н О С Т И </t>
  </si>
  <si>
    <t>Бюджетное учреждение</t>
  </si>
  <si>
    <t>Муниципальное бюджетное учреждение культуры "Эвенкийский краеведческий музей"</t>
  </si>
  <si>
    <t>Наименование расходов</t>
  </si>
  <si>
    <t>КВР</t>
  </si>
  <si>
    <t>Исчислено бюджетным учреждением</t>
  </si>
  <si>
    <t>ИТОГО РАСХОДЫ:</t>
  </si>
  <si>
    <t>Расходы на выплаты персоналу</t>
  </si>
  <si>
    <t>100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</si>
  <si>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</si>
  <si>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</si>
  <si>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</si>
  <si>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Прочие несоциальные выплаты персоналу в денежной форме</t>
  </si>
  <si>
    <t>Прочие несоциальные выплаты персоналу в натуральной форме</t>
  </si>
  <si>
    <t>Прочие работы, услуги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</si>
  <si>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</si>
  <si>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</si>
  <si>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Иные выплаты текущего характера физическим лицам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</si>
  <si>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</si>
  <si>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</si>
  <si>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</si>
  <si>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</si>
  <si>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</si>
  <si>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Закупка товаров, работ, услуг в сфере информационно-коммуникационных технологий</t>
  </si>
  <si>
    <t>242</t>
  </si>
  <si>
    <t>Работы, услуги по содержанию имущества</t>
  </si>
  <si>
    <t>Услуги, работы для целей капитальных вложений</t>
  </si>
  <si>
    <t>Увеличение стоимости прочих оборотных запасов (материалов)</t>
  </si>
  <si>
    <t>Увеличение стоимости неисключительных прав на результаты интеллектуальной деятельности с неопределенным сроком полезного использования</t>
  </si>
  <si>
    <t>Увеличение стоимости неисключительных прав на результаты интеллектуальной деятельности с определенным сроком полезного использования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</si>
  <si>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</si>
  <si>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</si>
  <si>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</si>
  <si>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</si>
  <si>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Страхование</t>
  </si>
  <si>
    <t>Иные расходыИные выплаты текущего характера физическим лицам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</si>
  <si>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</si>
  <si>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</si>
  <si>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</si>
  <si>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</si>
  <si>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</si>
  <si>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</si>
  <si>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</si>
  <si>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</si>
  <si>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</si>
  <si>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</si>
  <si>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</si>
  <si>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Пособия по социальной помощи населению в денежной форме</t>
  </si>
  <si>
    <t>Социальные пособия и компенсации персоналу в денежной форме</t>
  </si>
  <si>
    <t>Премии и гранты</t>
  </si>
  <si>
    <t>350</t>
  </si>
  <si>
    <t>Капитальные вложения в объекты государственной (муниципальной) собственности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</si>
  <si>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</si>
  <si>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</si>
  <si>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</si>
  <si>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Иные бюджетные ассигнования</t>
  </si>
  <si>
    <t>800</t>
  </si>
  <si>
    <t>Исполнение судебных актов Российской Федерации и мировых соглашений по возмещению причиненного вреда</t>
  </si>
  <si>
    <t>831</t>
  </si>
  <si>
    <t>Иные выплаты текущего характера организациям</t>
  </si>
  <si>
    <t>Уплата налога на имущество организаций и земельного налога</t>
  </si>
  <si>
    <t>851</t>
  </si>
  <si>
    <t>Налоги, пошлины и сборы</t>
  </si>
  <si>
    <t>Уплата прочих налогов, сборов</t>
  </si>
  <si>
    <t>852</t>
  </si>
  <si>
    <t>Уплата иных платежей</t>
  </si>
  <si>
    <t>853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</si>
  <si>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</si>
  <si>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</si>
  <si>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r>
      <t xml:space="preserve">5 = 3 </t>
    </r>
    <r>
      <rPr>
        <sz val="11"/>
        <rFont val="Arial"/>
        <family val="2"/>
        <charset val="204"/>
      </rPr>
      <t xml:space="preserve">÷ </t>
    </r>
    <r>
      <rPr>
        <sz val="11"/>
        <rFont val="Times New Roman"/>
        <family val="1"/>
        <charset val="204"/>
      </rPr>
      <t>4</t>
    </r>
  </si>
  <si>
    <r>
      <t xml:space="preserve">8 = 5 </t>
    </r>
    <r>
      <rPr>
        <sz val="11"/>
        <rFont val="Arial"/>
        <family val="2"/>
        <charset val="204"/>
      </rPr>
      <t>× 7</t>
    </r>
  </si>
  <si>
    <t>Стоимость 1 человека-часа(ФОТ × 12 мес × 1,302  ÷ 1 970 часов)</t>
  </si>
  <si>
    <t>Число зрителей (плановое задание 2019 года)</t>
  </si>
  <si>
    <r>
      <t xml:space="preserve">Базовые нормативы затрат </t>
    </r>
    <r>
      <rPr>
        <b/>
        <u/>
        <sz val="11"/>
        <rFont val="Times New Roman"/>
        <family val="1"/>
        <charset val="204"/>
      </rPr>
      <t xml:space="preserve">по каждой услуге </t>
    </r>
    <r>
      <rPr>
        <b/>
        <sz val="11"/>
        <rFont val="Times New Roman"/>
        <family val="1"/>
        <charset val="204"/>
      </rPr>
      <t>методом наиболее эффективного учреждения (на основе анализа и усреднения)</t>
    </r>
  </si>
  <si>
    <r>
      <t xml:space="preserve"> </t>
    </r>
    <r>
      <rPr>
        <b/>
        <sz val="10"/>
        <rFont val="Times New Roman"/>
        <family val="1"/>
        <charset val="204"/>
      </rPr>
      <t>Базовый норматив затрат, непосредственно связанных с оказанием i-ой государственной услуги</t>
    </r>
  </si>
  <si>
    <r>
      <t xml:space="preserve"> </t>
    </r>
    <r>
      <rPr>
        <b/>
        <sz val="9"/>
        <rFont val="Times New Roman"/>
        <family val="1"/>
        <charset val="204"/>
      </rPr>
      <t>Базовый норматив затрат на общехозяйственные нужды на оказание i-ой государственной услуги</t>
    </r>
  </si>
  <si>
    <t>кВт час.(30%)</t>
  </si>
  <si>
    <t>Гкал (70%)</t>
  </si>
  <si>
    <t>Горячее водоснабжение</t>
  </si>
  <si>
    <t xml:space="preserve">ГКал </t>
  </si>
  <si>
    <t>Обслуживание пожарно-охранной сигнализации п. Тура</t>
  </si>
  <si>
    <t>Обслуживание музейного сайта</t>
  </si>
  <si>
    <t>Текущий ремонт зданий и сооружений</t>
  </si>
  <si>
    <t>Вывоз ЖБО</t>
  </si>
  <si>
    <t>Земельный налог</t>
  </si>
  <si>
    <t xml:space="preserve"> Услуга</t>
  </si>
  <si>
    <t xml:space="preserve"> Работа </t>
  </si>
  <si>
    <t>Прочее имущество ст.310</t>
  </si>
  <si>
    <t xml:space="preserve"> сумма</t>
  </si>
  <si>
    <t xml:space="preserve"> </t>
  </si>
  <si>
    <t>Прочее имущество ст.226</t>
  </si>
  <si>
    <t>Иные затраты</t>
  </si>
  <si>
    <r>
      <t>Наименование показателя объема</t>
    </r>
    <r>
      <rPr>
        <sz val="11"/>
        <color rgb="FF000000"/>
        <rFont val="Times New Roman"/>
        <family val="1"/>
        <charset val="204"/>
      </rPr>
      <t xml:space="preserve">: число посетителей </t>
    </r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</si>
  <si>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b/>
        <sz val="11"/>
        <rFont val="Times New Roman"/>
        <family val="1"/>
        <charset val="204"/>
      </rPr>
      <t>1 979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</si>
  <si>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b/>
        <sz val="11"/>
        <rFont val="Times New Roman"/>
        <family val="1"/>
        <charset val="204"/>
      </rPr>
      <t>12</t>
    </r>
    <r>
      <rPr>
        <sz val="11"/>
        <rFont val="Times New Roman"/>
        <family val="1"/>
        <charset val="204"/>
      </rPr>
      <t xml:space="preserve"> </t>
    </r>
    <r>
      <rPr>
        <sz val="11"/>
        <rFont val="Arial"/>
        <family val="2"/>
        <charset val="204"/>
      </rPr>
      <t>×</t>
    </r>
    <r>
      <rPr>
        <b/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1979</t>
    </r>
  </si>
  <si>
    <r>
      <t>Планируемое число посетителей в год</t>
    </r>
    <r>
      <rPr>
        <sz val="11"/>
        <rFont val="Times New Roman"/>
        <family val="1"/>
        <charset val="204"/>
      </rPr>
      <t>: 4 200 человек (показатель объема услуги - задание)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</si>
  <si>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</si>
  <si>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t>Число зрителей(плановое задание 202 0года)</t>
  </si>
  <si>
    <t>Прохождение мед.осмотра</t>
  </si>
  <si>
    <t>Обслуживание пожарно-охранной сигнализации с.Ванавара</t>
  </si>
  <si>
    <t>Обслуживание пожарно-охранной сигнализации с.Байкит</t>
  </si>
  <si>
    <t xml:space="preserve">Наименование показателя объема: 4200 число посетителей (человек) </t>
  </si>
  <si>
    <t>Общее полезное время использования: Количество рабочих дней (248) х количество рабочих часов в день (8) х количество потребителей в человека-часах в день (2,0) = 3 968,00</t>
  </si>
  <si>
    <t>Число зрителей(плановое задание 2020 года)</t>
  </si>
  <si>
    <r>
      <t xml:space="preserve">7 = 2 </t>
    </r>
    <r>
      <rPr>
        <sz val="11"/>
        <rFont val="Arial"/>
        <family val="2"/>
        <charset val="204"/>
      </rPr>
      <t xml:space="preserve">× 3×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</t>
    </r>
  </si>
  <si>
    <t>247</t>
  </si>
  <si>
    <t>Интернет трафик сверх лимита</t>
  </si>
  <si>
    <t>АИС</t>
  </si>
  <si>
    <t xml:space="preserve">  на 2023год </t>
  </si>
  <si>
    <r>
      <t>Рабочих часов в год</t>
    </r>
    <r>
      <rPr>
        <sz val="11"/>
        <rFont val="Times New Roman"/>
        <family val="1"/>
        <charset val="204"/>
      </rPr>
      <t xml:space="preserve">: </t>
    </r>
    <r>
      <rPr>
        <b/>
        <sz val="11"/>
        <rFont val="Times New Roman"/>
        <family val="1"/>
        <charset val="204"/>
      </rPr>
      <t xml:space="preserve">1 979 </t>
    </r>
    <r>
      <rPr>
        <sz val="11"/>
        <rFont val="Times New Roman"/>
        <family val="1"/>
        <charset val="204"/>
      </rPr>
      <t>часа – производственный календарь на 2023 год</t>
    </r>
  </si>
  <si>
    <t>2023 год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</si>
</sst>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0.0"/>
    <numFmt numFmtId="166" formatCode="#,##0.00&quot;р.&quot;"/>
    <numFmt numFmtId="167" formatCode="#,##0_р_."/>
    <numFmt numFmtId="168" formatCode="_(* #,##0.00_);_(* \(#,##0.00\);_(* &quot;-&quot;??_);_(@_)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8"/>
      <color indexed="22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0"/>
      <name val="Helv"/>
    </font>
    <font>
      <b/>
      <u/>
      <sz val="11"/>
      <name val="Times New Roman"/>
      <family val="1"/>
      <charset val="204"/>
    </font>
    <font>
      <b/>
      <sz val="10"/>
      <name val="Cambria"/>
      <family val="1"/>
      <charset val="204"/>
    </font>
    <font>
      <b/>
      <sz val="10"/>
      <name val="Times New Roman"/>
      <family val="1"/>
      <charset val="204"/>
    </font>
    <font>
      <sz val="10"/>
      <name val="Cambria"/>
      <family val="1"/>
      <charset val="204"/>
    </font>
    <font>
      <b/>
      <sz val="11"/>
      <name val="Calibri"/>
      <family val="2"/>
      <charset val="204"/>
      <scheme val="minor"/>
    </font>
    <font>
      <b/>
      <sz val="9"/>
      <name val="Cambria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8" fillId="0" borderId="0"/>
    <xf numFmtId="0" fontId="18" fillId="0" borderId="0"/>
    <xf numFmtId="0" fontId="18" fillId="0" borderId="0"/>
    <xf numFmtId="0" fontId="27" fillId="0" borderId="0"/>
    <xf numFmtId="0" fontId="27" fillId="0" borderId="0"/>
    <xf numFmtId="0" fontId="15" fillId="0" borderId="0"/>
    <xf numFmtId="0" fontId="15" fillId="0" borderId="0"/>
    <xf numFmtId="0" fontId="15" fillId="0" borderId="0"/>
    <xf numFmtId="9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4" fontId="4" fillId="0" borderId="1" xfId="0" applyNumberFormat="1" applyFont="1" applyFill="1" applyBorder="1" applyAlignment="1">
      <alignment horizontal="center" vertical="center" wrapText="1" readingOrder="1"/>
    </xf>
    <xf numFmtId="0" fontId="0" fillId="0" borderId="0" xfId="0" applyFont="1"/>
    <xf numFmtId="0" fontId="4" fillId="0" borderId="1" xfId="0" applyFont="1" applyFill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left" vertical="top" wrapText="1" readingOrder="1"/>
    </xf>
    <xf numFmtId="0" fontId="2" fillId="0" borderId="0" xfId="0" applyFont="1" applyBorder="1" applyAlignment="1">
      <alignment vertical="center" readingOrder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4" fontId="0" fillId="0" borderId="0" xfId="0" applyNumberFormat="1"/>
    <xf numFmtId="2" fontId="4" fillId="0" borderId="1" xfId="0" applyNumberFormat="1" applyFont="1" applyFill="1" applyBorder="1" applyAlignment="1">
      <alignment horizontal="center" vertical="center" wrapText="1" readingOrder="1"/>
    </xf>
    <xf numFmtId="165" fontId="4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 wrapText="1" readingOrder="1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justify" vertical="center" wrapText="1" readingOrder="1"/>
    </xf>
    <xf numFmtId="0" fontId="6" fillId="4" borderId="2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7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166" fontId="9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49" fontId="7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/>
    <xf numFmtId="4" fontId="7" fillId="0" borderId="0" xfId="0" applyNumberFormat="1" applyFont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/>
    <xf numFmtId="4" fontId="7" fillId="0" borderId="0" xfId="0" applyNumberFormat="1" applyFont="1" applyFill="1" applyBorder="1"/>
    <xf numFmtId="4" fontId="13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4" fontId="10" fillId="0" borderId="0" xfId="0" applyNumberFormat="1" applyFont="1" applyBorder="1" applyAlignme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12" fillId="0" borderId="0" xfId="0" applyNumberFormat="1" applyFont="1" applyBorder="1" applyAlignment="1"/>
    <xf numFmtId="0" fontId="0" fillId="0" borderId="0" xfId="0" applyAlignment="1"/>
    <xf numFmtId="0" fontId="0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 readingOrder="1"/>
    </xf>
    <xf numFmtId="4" fontId="0" fillId="0" borderId="0" xfId="0" applyNumberFormat="1" applyFont="1"/>
    <xf numFmtId="0" fontId="7" fillId="0" borderId="1" xfId="0" applyFont="1" applyBorder="1" applyAlignment="1">
      <alignment horizontal="center"/>
    </xf>
    <xf numFmtId="0" fontId="9" fillId="0" borderId="4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1" fontId="9" fillId="0" borderId="1" xfId="0" applyNumberFormat="1" applyFont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center" wrapText="1" readingOrder="1"/>
    </xf>
    <xf numFmtId="4" fontId="6" fillId="0" borderId="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0" fillId="0" borderId="7" xfId="0" applyBorder="1"/>
    <xf numFmtId="0" fontId="0" fillId="0" borderId="23" xfId="0" applyBorder="1"/>
    <xf numFmtId="0" fontId="1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9" fillId="0" borderId="0" xfId="0" applyFont="1"/>
    <xf numFmtId="4" fontId="19" fillId="0" borderId="0" xfId="0" applyNumberFormat="1" applyFont="1"/>
    <xf numFmtId="0" fontId="20" fillId="0" borderId="1" xfId="0" applyFont="1" applyFill="1" applyBorder="1" applyAlignment="1">
      <alignment horizontal="center" vertical="center" wrapText="1" readingOrder="1"/>
    </xf>
    <xf numFmtId="4" fontId="20" fillId="0" borderId="1" xfId="0" applyNumberFormat="1" applyFont="1" applyFill="1" applyBorder="1" applyAlignment="1">
      <alignment horizontal="center" vertical="center" wrapText="1" readingOrder="1"/>
    </xf>
    <xf numFmtId="2" fontId="20" fillId="0" borderId="1" xfId="0" applyNumberFormat="1" applyFont="1" applyFill="1" applyBorder="1" applyAlignment="1">
      <alignment horizontal="center" vertical="center" wrapText="1" readingOrder="1"/>
    </xf>
    <xf numFmtId="0" fontId="21" fillId="0" borderId="0" xfId="0" applyFont="1"/>
    <xf numFmtId="0" fontId="20" fillId="2" borderId="1" xfId="0" applyFont="1" applyFill="1" applyBorder="1" applyAlignment="1">
      <alignment horizontal="center" vertical="center" wrapText="1" readingOrder="1"/>
    </xf>
    <xf numFmtId="0" fontId="21" fillId="0" borderId="0" xfId="0" applyFont="1" applyFill="1"/>
    <xf numFmtId="0" fontId="20" fillId="0" borderId="1" xfId="0" applyFont="1" applyFill="1" applyBorder="1" applyAlignment="1">
      <alignment horizontal="justify" vertical="center" wrapText="1" readingOrder="1"/>
    </xf>
    <xf numFmtId="164" fontId="20" fillId="0" borderId="1" xfId="0" applyNumberFormat="1" applyFont="1" applyFill="1" applyBorder="1" applyAlignment="1">
      <alignment horizontal="center" vertical="center" wrapText="1" readingOrder="1"/>
    </xf>
    <xf numFmtId="165" fontId="20" fillId="0" borderId="1" xfId="0" applyNumberFormat="1" applyFont="1" applyFill="1" applyBorder="1" applyAlignment="1">
      <alignment horizontal="center" vertical="center" wrapText="1" readingOrder="1"/>
    </xf>
    <xf numFmtId="4" fontId="21" fillId="0" borderId="0" xfId="0" applyNumberFormat="1" applyFont="1"/>
    <xf numFmtId="165" fontId="23" fillId="0" borderId="1" xfId="0" applyNumberFormat="1" applyFont="1" applyFill="1" applyBorder="1" applyAlignment="1">
      <alignment horizontal="center" vertical="center" wrapText="1" readingOrder="1"/>
    </xf>
    <xf numFmtId="0" fontId="12" fillId="0" borderId="0" xfId="0" applyFont="1" applyAlignment="1">
      <alignment horizontal="left" vertical="center" readingOrder="1"/>
    </xf>
    <xf numFmtId="0" fontId="20" fillId="0" borderId="0" xfId="0" applyFont="1" applyAlignment="1">
      <alignment vertical="center" wrapText="1" readingOrder="1"/>
    </xf>
    <xf numFmtId="0" fontId="23" fillId="0" borderId="0" xfId="0" applyFont="1" applyAlignment="1">
      <alignment horizontal="left" vertical="center" readingOrder="1"/>
    </xf>
    <xf numFmtId="0" fontId="20" fillId="0" borderId="1" xfId="0" applyFont="1" applyBorder="1" applyAlignment="1">
      <alignment horizontal="left" vertical="center" wrapText="1"/>
    </xf>
    <xf numFmtId="4" fontId="20" fillId="2" borderId="1" xfId="0" applyNumberFormat="1" applyFont="1" applyFill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top" wrapText="1" readingOrder="1"/>
    </xf>
    <xf numFmtId="3" fontId="23" fillId="2" borderId="1" xfId="0" applyNumberFormat="1" applyFont="1" applyFill="1" applyBorder="1" applyAlignment="1">
      <alignment horizontal="center" vertical="center" wrapText="1" readingOrder="1"/>
    </xf>
    <xf numFmtId="2" fontId="20" fillId="2" borderId="1" xfId="0" applyNumberFormat="1" applyFont="1" applyFill="1" applyBorder="1" applyAlignment="1">
      <alignment horizontal="center" vertical="center" wrapText="1" readingOrder="1"/>
    </xf>
    <xf numFmtId="0" fontId="20" fillId="2" borderId="1" xfId="0" applyFont="1" applyFill="1" applyBorder="1" applyAlignment="1">
      <alignment horizontal="justify" vertical="center" wrapText="1" readingOrder="1"/>
    </xf>
    <xf numFmtId="4" fontId="20" fillId="2" borderId="1" xfId="0" applyNumberFormat="1" applyFont="1" applyFill="1" applyBorder="1" applyAlignment="1">
      <alignment horizontal="center" vertical="top" wrapText="1" readingOrder="1"/>
    </xf>
    <xf numFmtId="2" fontId="23" fillId="5" borderId="1" xfId="0" applyNumberFormat="1" applyFont="1" applyFill="1" applyBorder="1" applyAlignment="1">
      <alignment horizontal="center" vertical="center" wrapText="1" readingOrder="1"/>
    </xf>
    <xf numFmtId="0" fontId="20" fillId="0" borderId="1" xfId="0" applyFont="1" applyFill="1" applyBorder="1" applyAlignment="1">
      <alignment horizontal="center" vertical="center" wrapText="1" readingOrder="1"/>
    </xf>
    <xf numFmtId="0" fontId="20" fillId="2" borderId="1" xfId="0" applyFont="1" applyFill="1" applyBorder="1" applyAlignment="1">
      <alignment horizontal="center" vertical="center" wrapText="1" readingOrder="1"/>
    </xf>
    <xf numFmtId="165" fontId="23" fillId="5" borderId="1" xfId="0" applyNumberFormat="1" applyFont="1" applyFill="1" applyBorder="1" applyAlignment="1">
      <alignment horizontal="center" vertical="center" wrapText="1" readingOrder="1"/>
    </xf>
    <xf numFmtId="0" fontId="6" fillId="0" borderId="0" xfId="12" applyFont="1"/>
    <xf numFmtId="0" fontId="10" fillId="0" borderId="0" xfId="13" applyFont="1" applyBorder="1" applyProtection="1"/>
    <xf numFmtId="0" fontId="9" fillId="0" borderId="0" xfId="1" applyFont="1" applyBorder="1" applyAlignment="1" applyProtection="1">
      <protection locked="0"/>
    </xf>
    <xf numFmtId="0" fontId="9" fillId="0" borderId="0" xfId="13" applyFont="1" applyBorder="1" applyProtection="1">
      <protection locked="0"/>
    </xf>
    <xf numFmtId="0" fontId="6" fillId="0" borderId="0" xfId="14" applyFont="1"/>
    <xf numFmtId="0" fontId="25" fillId="0" borderId="0" xfId="13" applyFont="1" applyAlignment="1"/>
    <xf numFmtId="0" fontId="26" fillId="0" borderId="0" xfId="14" applyFont="1" applyAlignment="1"/>
    <xf numFmtId="0" fontId="12" fillId="0" borderId="0" xfId="15" applyFont="1" applyAlignment="1">
      <alignment horizontal="center" vertical="center" wrapText="1"/>
    </xf>
    <xf numFmtId="0" fontId="6" fillId="0" borderId="0" xfId="15" applyFont="1" applyAlignment="1">
      <alignment horizontal="center" vertical="center" wrapText="1"/>
    </xf>
    <xf numFmtId="0" fontId="9" fillId="0" borderId="0" xfId="15" applyFont="1" applyAlignment="1">
      <alignment vertical="center" wrapText="1"/>
    </xf>
    <xf numFmtId="0" fontId="6" fillId="0" borderId="0" xfId="14" applyFont="1" applyAlignment="1"/>
    <xf numFmtId="0" fontId="6" fillId="0" borderId="0" xfId="15" applyFont="1" applyAlignment="1">
      <alignment vertical="center" wrapText="1"/>
    </xf>
    <xf numFmtId="0" fontId="6" fillId="0" borderId="1" xfId="15" applyFont="1" applyFill="1" applyBorder="1" applyAlignment="1" applyProtection="1">
      <alignment horizontal="center" vertical="center" wrapText="1"/>
    </xf>
    <xf numFmtId="0" fontId="12" fillId="0" borderId="1" xfId="15" applyFont="1" applyBorder="1" applyAlignment="1" applyProtection="1">
      <alignment horizontal="left" vertical="center" wrapText="1"/>
    </xf>
    <xf numFmtId="0" fontId="12" fillId="0" borderId="1" xfId="15" applyFont="1" applyBorder="1" applyAlignment="1" applyProtection="1">
      <alignment horizontal="center" vertical="center" wrapText="1"/>
    </xf>
    <xf numFmtId="0" fontId="23" fillId="0" borderId="1" xfId="15" applyFont="1" applyBorder="1" applyAlignment="1" applyProtection="1">
      <alignment vertical="center" wrapText="1"/>
    </xf>
    <xf numFmtId="49" fontId="23" fillId="0" borderId="25" xfId="1" applyNumberFormat="1" applyFont="1" applyBorder="1" applyAlignment="1" applyProtection="1">
      <alignment horizontal="center" vertical="center" wrapText="1"/>
    </xf>
    <xf numFmtId="0" fontId="20" fillId="0" borderId="1" xfId="15" applyFont="1" applyBorder="1" applyAlignment="1" applyProtection="1">
      <alignment horizontal="center" vertical="center" wrapText="1"/>
    </xf>
    <xf numFmtId="0" fontId="20" fillId="0" borderId="1" xfId="15" applyFont="1" applyBorder="1" applyAlignment="1" applyProtection="1">
      <alignment vertical="center" wrapText="1"/>
    </xf>
    <xf numFmtId="49" fontId="20" fillId="0" borderId="25" xfId="1" applyNumberFormat="1" applyFont="1" applyBorder="1" applyAlignment="1" applyProtection="1">
      <alignment horizontal="center" vertical="center" wrapText="1"/>
    </xf>
    <xf numFmtId="0" fontId="9" fillId="0" borderId="0" xfId="12" applyFont="1" applyAlignment="1" applyProtection="1">
      <alignment horizontal="right"/>
    </xf>
    <xf numFmtId="0" fontId="9" fillId="0" borderId="0" xfId="12" applyFont="1" applyProtection="1">
      <protection locked="0"/>
    </xf>
    <xf numFmtId="0" fontId="20" fillId="0" borderId="1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0" fontId="12" fillId="0" borderId="0" xfId="0" applyFont="1" applyAlignment="1">
      <alignment vertical="center" wrapText="1" readingOrder="1"/>
    </xf>
    <xf numFmtId="0" fontId="20" fillId="2" borderId="9" xfId="0" applyFont="1" applyFill="1" applyBorder="1" applyAlignment="1">
      <alignment horizontal="center" vertical="center" wrapText="1" readingOrder="1"/>
    </xf>
    <xf numFmtId="0" fontId="20" fillId="3" borderId="8" xfId="0" applyFont="1" applyFill="1" applyBorder="1" applyAlignment="1">
      <alignment horizontal="center" vertical="center" wrapText="1" readingOrder="1"/>
    </xf>
    <xf numFmtId="0" fontId="23" fillId="2" borderId="11" xfId="0" applyFont="1" applyFill="1" applyBorder="1" applyAlignment="1">
      <alignment horizontal="justify" vertical="top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4" fontId="20" fillId="2" borderId="12" xfId="0" applyNumberFormat="1" applyFont="1" applyFill="1" applyBorder="1" applyAlignment="1">
      <alignment horizontal="center" vertical="center" wrapText="1" readingOrder="1"/>
    </xf>
    <xf numFmtId="3" fontId="23" fillId="2" borderId="10" xfId="0" applyNumberFormat="1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top" wrapText="1" readingOrder="1"/>
    </xf>
    <xf numFmtId="0" fontId="20" fillId="2" borderId="13" xfId="0" applyFont="1" applyFill="1" applyBorder="1" applyAlignment="1">
      <alignment horizontal="center" vertical="center" wrapText="1" readingOrder="1"/>
    </xf>
    <xf numFmtId="4" fontId="6" fillId="0" borderId="0" xfId="12" applyNumberFormat="1" applyFont="1"/>
    <xf numFmtId="0" fontId="20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0" fontId="21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29" fillId="0" borderId="0" xfId="0" applyNumberFormat="1" applyFont="1" applyAlignment="1">
      <alignment horizontal="left" vertical="center" wrapText="1"/>
    </xf>
    <xf numFmtId="4" fontId="29" fillId="0" borderId="19" xfId="0" applyNumberFormat="1" applyFont="1" applyFill="1" applyBorder="1" applyAlignment="1">
      <alignment horizontal="left" vertical="center" wrapText="1"/>
    </xf>
    <xf numFmtId="4" fontId="31" fillId="0" borderId="0" xfId="0" applyNumberFormat="1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4" fontId="32" fillId="0" borderId="0" xfId="0" applyNumberFormat="1" applyFont="1" applyAlignment="1">
      <alignment horizontal="left" wrapText="1"/>
    </xf>
    <xf numFmtId="4" fontId="33" fillId="0" borderId="0" xfId="0" applyNumberFormat="1" applyFont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Alignment="1">
      <alignment horizontal="left" wrapText="1"/>
    </xf>
    <xf numFmtId="0" fontId="20" fillId="0" borderId="1" xfId="0" applyNumberFormat="1" applyFont="1" applyFill="1" applyBorder="1" applyAlignment="1">
      <alignment horizontal="center" vertical="center" wrapText="1" readingOrder="1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 readingOrder="1"/>
    </xf>
    <xf numFmtId="4" fontId="20" fillId="2" borderId="13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/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 readingOrder="1"/>
    </xf>
    <xf numFmtId="0" fontId="20" fillId="2" borderId="1" xfId="0" applyFont="1" applyFill="1" applyBorder="1" applyAlignment="1">
      <alignment horizontal="center" vertical="center" wrapText="1" readingOrder="1"/>
    </xf>
    <xf numFmtId="0" fontId="1" fillId="0" borderId="4" xfId="0" applyFont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 readingOrder="1"/>
    </xf>
    <xf numFmtId="0" fontId="20" fillId="0" borderId="1" xfId="0" applyFont="1" applyFill="1" applyBorder="1" applyAlignment="1">
      <alignment horizontal="center" vertical="center" wrapText="1" readingOrder="1"/>
    </xf>
    <xf numFmtId="0" fontId="0" fillId="0" borderId="0" xfId="0" applyFill="1"/>
    <xf numFmtId="2" fontId="23" fillId="0" borderId="1" xfId="0" applyNumberFormat="1" applyFont="1" applyFill="1" applyBorder="1" applyAlignment="1">
      <alignment horizontal="center" vertical="center" wrapText="1" readingOrder="1"/>
    </xf>
    <xf numFmtId="4" fontId="23" fillId="0" borderId="1" xfId="0" applyNumberFormat="1" applyFont="1" applyFill="1" applyBorder="1" applyAlignment="1">
      <alignment horizontal="center" vertical="center" wrapText="1" readingOrder="1"/>
    </xf>
    <xf numFmtId="0" fontId="20" fillId="0" borderId="1" xfId="0" applyFont="1" applyFill="1" applyBorder="1" applyAlignment="1">
      <alignment horizontal="center" vertical="center" wrapText="1" readingOrder="1"/>
    </xf>
    <xf numFmtId="0" fontId="6" fillId="0" borderId="0" xfId="12" applyFont="1" applyFill="1"/>
    <xf numFmtId="0" fontId="6" fillId="0" borderId="0" xfId="14" applyFont="1" applyFill="1"/>
    <xf numFmtId="0" fontId="6" fillId="0" borderId="0" xfId="15" applyFont="1" applyFill="1" applyAlignment="1">
      <alignment horizontal="center" vertical="center"/>
    </xf>
    <xf numFmtId="0" fontId="6" fillId="0" borderId="0" xfId="15" applyFont="1" applyFill="1"/>
    <xf numFmtId="2" fontId="12" fillId="0" borderId="2" xfId="15" applyNumberFormat="1" applyFont="1" applyFill="1" applyBorder="1" applyAlignment="1" applyProtection="1">
      <alignment horizontal="center" vertical="center" wrapText="1"/>
      <protection locked="0"/>
    </xf>
    <xf numFmtId="2" fontId="12" fillId="0" borderId="1" xfId="15" applyNumberFormat="1" applyFont="1" applyFill="1" applyBorder="1" applyAlignment="1" applyProtection="1">
      <alignment horizontal="center" vertical="center" wrapText="1"/>
    </xf>
    <xf numFmtId="3" fontId="12" fillId="0" borderId="1" xfId="15" applyNumberFormat="1" applyFont="1" applyFill="1" applyBorder="1" applyAlignment="1" applyProtection="1">
      <alignment horizontal="right" wrapText="1"/>
    </xf>
    <xf numFmtId="4" fontId="23" fillId="0" borderId="1" xfId="15" applyNumberFormat="1" applyFont="1" applyFill="1" applyBorder="1" applyAlignment="1" applyProtection="1">
      <alignment horizontal="right" wrapText="1"/>
      <protection locked="0"/>
    </xf>
    <xf numFmtId="4" fontId="20" fillId="0" borderId="1" xfId="15" applyNumberFormat="1" applyFont="1" applyFill="1" applyBorder="1" applyAlignment="1" applyProtection="1">
      <alignment horizontal="right" wrapText="1"/>
      <protection locked="0"/>
    </xf>
    <xf numFmtId="3" fontId="20" fillId="0" borderId="1" xfId="15" applyNumberFormat="1" applyFont="1" applyFill="1" applyBorder="1" applyAlignment="1" applyProtection="1">
      <alignment horizontal="right" wrapText="1"/>
      <protection locked="0"/>
    </xf>
    <xf numFmtId="167" fontId="6" fillId="0" borderId="0" xfId="12" applyNumberFormat="1" applyFont="1" applyFill="1"/>
    <xf numFmtId="4" fontId="20" fillId="0" borderId="12" xfId="0" applyNumberFormat="1" applyFont="1" applyFill="1" applyBorder="1" applyAlignment="1">
      <alignment horizontal="center" vertical="center" wrapText="1" readingOrder="1"/>
    </xf>
    <xf numFmtId="0" fontId="23" fillId="0" borderId="17" xfId="0" applyFont="1" applyFill="1" applyBorder="1" applyAlignment="1">
      <alignment horizontal="center" vertical="center" wrapText="1" readingOrder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vertical="center" wrapText="1"/>
    </xf>
    <xf numFmtId="4" fontId="20" fillId="0" borderId="1" xfId="0" applyNumberFormat="1" applyFont="1" applyFill="1" applyBorder="1" applyAlignment="1">
      <alignment horizontal="center" vertical="top" wrapText="1" readingOrder="1"/>
    </xf>
    <xf numFmtId="0" fontId="20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 wrapText="1" readingOrder="1"/>
    </xf>
    <xf numFmtId="0" fontId="35" fillId="0" borderId="1" xfId="0" applyFont="1" applyFill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23" fillId="0" borderId="0" xfId="0" applyFont="1" applyAlignment="1">
      <alignment horizontal="center" vertical="center" wrapText="1" readingOrder="1"/>
    </xf>
    <xf numFmtId="0" fontId="23" fillId="0" borderId="5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4" fontId="9" fillId="0" borderId="1" xfId="0" applyNumberFormat="1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3" fillId="0" borderId="5" xfId="0" applyFont="1" applyBorder="1" applyAlignment="1">
      <alignment horizontal="left" vertical="center" readingOrder="1"/>
    </xf>
    <xf numFmtId="0" fontId="2" fillId="0" borderId="0" xfId="0" applyFont="1" applyBorder="1" applyAlignment="1">
      <alignment horizontal="left" vertical="center" wrapText="1" readingOrder="1"/>
    </xf>
    <xf numFmtId="0" fontId="2" fillId="0" borderId="21" xfId="0" applyFont="1" applyBorder="1" applyAlignment="1">
      <alignment horizontal="left" vertical="center" wrapText="1" readingOrder="1"/>
    </xf>
    <xf numFmtId="0" fontId="6" fillId="0" borderId="0" xfId="0" applyFont="1" applyAlignment="1">
      <alignment horizontal="center" vertical="center" readingOrder="1"/>
    </xf>
    <xf numFmtId="0" fontId="20" fillId="0" borderId="1" xfId="0" applyFont="1" applyFill="1" applyBorder="1" applyAlignment="1">
      <alignment horizontal="center" vertical="center" wrapText="1" readingOrder="1"/>
    </xf>
    <xf numFmtId="0" fontId="20" fillId="2" borderId="1" xfId="0" applyFont="1" applyFill="1" applyBorder="1" applyAlignment="1">
      <alignment horizontal="center" vertical="center" wrapText="1" readingOrder="1"/>
    </xf>
    <xf numFmtId="0" fontId="23" fillId="2" borderId="1" xfId="0" applyFont="1" applyFill="1" applyBorder="1" applyAlignment="1">
      <alignment horizontal="right" vertical="center" wrapText="1" readingOrder="1"/>
    </xf>
    <xf numFmtId="0" fontId="20" fillId="2" borderId="6" xfId="0" applyFont="1" applyFill="1" applyBorder="1" applyAlignment="1">
      <alignment horizontal="center" vertical="center" wrapText="1" readingOrder="1"/>
    </xf>
    <xf numFmtId="0" fontId="20" fillId="2" borderId="18" xfId="0" applyFont="1" applyFill="1" applyBorder="1" applyAlignment="1">
      <alignment horizontal="center" vertical="center" wrapText="1" readingOrder="1"/>
    </xf>
    <xf numFmtId="0" fontId="20" fillId="2" borderId="7" xfId="0" applyFont="1" applyFill="1" applyBorder="1" applyAlignment="1">
      <alignment horizontal="center" vertical="center" wrapText="1" readingOrder="1"/>
    </xf>
    <xf numFmtId="0" fontId="20" fillId="0" borderId="6" xfId="0" applyFont="1" applyFill="1" applyBorder="1" applyAlignment="1">
      <alignment horizontal="center" vertical="center" wrapText="1" readingOrder="1"/>
    </xf>
    <xf numFmtId="0" fontId="20" fillId="0" borderId="7" xfId="0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 readingOrder="1"/>
    </xf>
    <xf numFmtId="0" fontId="23" fillId="2" borderId="14" xfId="0" applyFont="1" applyFill="1" applyBorder="1" applyAlignment="1">
      <alignment horizontal="right" vertical="center" wrapText="1" readingOrder="1"/>
    </xf>
    <xf numFmtId="0" fontId="23" fillId="2" borderId="15" xfId="0" applyFont="1" applyFill="1" applyBorder="1" applyAlignment="1">
      <alignment horizontal="right" vertical="center" wrapText="1" readingOrder="1"/>
    </xf>
    <xf numFmtId="0" fontId="23" fillId="2" borderId="16" xfId="0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right" vertical="center" wrapText="1" readingOrder="1"/>
    </xf>
    <xf numFmtId="0" fontId="23" fillId="0" borderId="1" xfId="0" applyFont="1" applyFill="1" applyBorder="1" applyAlignment="1">
      <alignment horizontal="right" vertical="center" wrapText="1" readingOrder="1"/>
    </xf>
    <xf numFmtId="0" fontId="20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center" vertical="center" readingOrder="1"/>
    </xf>
    <xf numFmtId="0" fontId="2" fillId="0" borderId="1" xfId="0" applyFont="1" applyFill="1" applyBorder="1" applyAlignment="1">
      <alignment horizontal="right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2" fillId="0" borderId="0" xfId="0" applyFont="1" applyBorder="1" applyAlignment="1">
      <alignment horizontal="center" vertical="center" wrapText="1" readingOrder="1"/>
    </xf>
    <xf numFmtId="4" fontId="2" fillId="0" borderId="1" xfId="0" applyNumberFormat="1" applyFont="1" applyFill="1" applyBorder="1" applyAlignment="1">
      <alignment horizontal="right" vertical="center" wrapText="1" readingOrder="1"/>
    </xf>
    <xf numFmtId="4" fontId="2" fillId="0" borderId="2" xfId="0" applyNumberFormat="1" applyFont="1" applyFill="1" applyBorder="1" applyAlignment="1">
      <alignment horizontal="right" vertical="center" wrapText="1" readingOrder="1"/>
    </xf>
    <xf numFmtId="4" fontId="2" fillId="0" borderId="3" xfId="0" applyNumberFormat="1" applyFont="1" applyFill="1" applyBorder="1" applyAlignment="1">
      <alignment horizontal="right" vertical="center" wrapText="1" readingOrder="1"/>
    </xf>
    <xf numFmtId="4" fontId="2" fillId="0" borderId="4" xfId="0" applyNumberFormat="1" applyFont="1" applyFill="1" applyBorder="1" applyAlignment="1">
      <alignment horizontal="right" vertical="center" wrapText="1" readingOrder="1"/>
    </xf>
    <xf numFmtId="0" fontId="26" fillId="0" borderId="0" xfId="14" applyFont="1" applyAlignment="1">
      <alignment horizontal="center" vertical="center"/>
    </xf>
    <xf numFmtId="0" fontId="9" fillId="0" borderId="0" xfId="15" applyFont="1" applyAlignment="1">
      <alignment horizontal="center" vertical="center" wrapText="1"/>
    </xf>
    <xf numFmtId="0" fontId="9" fillId="0" borderId="0" xfId="14" applyFont="1" applyAlignment="1" applyProtection="1">
      <alignment horizontal="center" vertical="center"/>
      <protection locked="0"/>
    </xf>
    <xf numFmtId="2" fontId="12" fillId="0" borderId="1" xfId="15" applyNumberFormat="1" applyFont="1" applyBorder="1" applyAlignment="1" applyProtection="1">
      <alignment horizontal="center" vertical="center" wrapText="1"/>
    </xf>
  </cellXfs>
  <cellStyles count="24">
    <cellStyle name="_Больница Ванавара." xfId="16"/>
    <cellStyle name="_молодые специалисты" xfId="17"/>
    <cellStyle name="Гиперссылка 2" xfId="2"/>
    <cellStyle name="Обычный" xfId="0" builtinId="0"/>
    <cellStyle name="Обычный 2" xfId="1"/>
    <cellStyle name="Обычный 2 2" xfId="3"/>
    <cellStyle name="Обычный 2 2 2" xfId="4"/>
    <cellStyle name="Обычный 2 3" xfId="5"/>
    <cellStyle name="Обычный 3" xfId="6"/>
    <cellStyle name="Обычный 4" xfId="7"/>
    <cellStyle name="Обычный 4 2" xfId="8"/>
    <cellStyle name="Обычный 4 2 2" xfId="18"/>
    <cellStyle name="Обычный 4 3" xfId="19"/>
    <cellStyle name="Обычный 5" xfId="9"/>
    <cellStyle name="Обычный 6" xfId="20"/>
    <cellStyle name="Обычный_Больница Ванавара." xfId="12"/>
    <cellStyle name="Обычный_Книга1" xfId="14"/>
    <cellStyle name="Обычный_смета 2005 новая" xfId="15"/>
    <cellStyle name="Обычный_Титульный лист" xfId="13"/>
    <cellStyle name="Процентный 2" xfId="10"/>
    <cellStyle name="Процентный 3" xfId="11"/>
    <cellStyle name="Процентный 4" xfId="21"/>
    <cellStyle name="Финансовый 2" xfId="22"/>
    <cellStyle name="Финансовый 5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9;&#1050;&#1052;%20&#1087;&#1083;&#1072;&#1085;%20&#1060;&#1061;&#1044;%20.%20&#1057;&#1084;&#1077;&#1090;&#1072;%20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yzey-gk/AppData/Local/Microsoft/Windows/Temporary%20Internet%20Files/Content.Outlook/EGFGF129/3.&#1069;&#1050;&#1052;%20&#1057;&#1084;&#1077;&#1090;&#1072;%202019%20(&#1053;&#1060;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3%20&#1069;&#1050;&#1052;%20&#1057;&#1084;&#1077;&#1090;&#1072;%202019%20(&#1053;&#1060;)%20(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екстов.часть"/>
      <sheetName val="Таблица 1"/>
      <sheetName val="План ФХД стр.1_4"/>
      <sheetName val="План фхд стр.5_6"/>
      <sheetName val="Приложение "/>
      <sheetName val="Кассовый план"/>
      <sheetName val="Анализ сметы расходов"/>
      <sheetName val="КВР 100"/>
      <sheetName val="КВР 200"/>
      <sheetName val="КВР 800"/>
      <sheetName val="ПДД стр.4_5"/>
      <sheetName val="Финанс. сост. учрежд."/>
      <sheetName val="титул."/>
      <sheetName val="Штатное расписание"/>
      <sheetName val="Анализ шт. расписания"/>
      <sheetName val="Тариф. с учетом повышения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1">
          <cell r="G21">
            <v>25200</v>
          </cell>
        </row>
        <row r="45">
          <cell r="G45">
            <v>653700</v>
          </cell>
        </row>
        <row r="52">
          <cell r="G52">
            <v>68000</v>
          </cell>
        </row>
        <row r="65">
          <cell r="G65">
            <v>209880</v>
          </cell>
        </row>
        <row r="77">
          <cell r="G77">
            <v>34650</v>
          </cell>
        </row>
      </sheetData>
      <sheetData sheetId="8" refreshError="1">
        <row r="76">
          <cell r="F76">
            <v>682.13</v>
          </cell>
        </row>
        <row r="80">
          <cell r="F80">
            <v>1.75</v>
          </cell>
        </row>
        <row r="81">
          <cell r="F81">
            <v>3.42</v>
          </cell>
        </row>
        <row r="94">
          <cell r="G94">
            <v>8823.0999999999985</v>
          </cell>
        </row>
        <row r="95">
          <cell r="G95">
            <v>5093.8</v>
          </cell>
        </row>
        <row r="101">
          <cell r="D101">
            <v>418.37</v>
          </cell>
        </row>
        <row r="102">
          <cell r="D102">
            <v>335.07</v>
          </cell>
          <cell r="G102">
            <v>5299892.6589000002</v>
          </cell>
        </row>
        <row r="103">
          <cell r="D103">
            <v>33.299999999999997</v>
          </cell>
          <cell r="G103">
            <v>257789.28599999999</v>
          </cell>
        </row>
        <row r="104">
          <cell r="D104">
            <v>50</v>
          </cell>
          <cell r="G104">
            <v>638085.5</v>
          </cell>
        </row>
        <row r="105">
          <cell r="D105">
            <v>5.29</v>
          </cell>
        </row>
        <row r="107">
          <cell r="G107">
            <v>328625.97489720001</v>
          </cell>
        </row>
        <row r="111">
          <cell r="D111">
            <v>12950</v>
          </cell>
        </row>
        <row r="112">
          <cell r="D112">
            <v>7230</v>
          </cell>
          <cell r="G112">
            <v>332146.2</v>
          </cell>
        </row>
        <row r="113">
          <cell r="D113">
            <v>1420</v>
          </cell>
          <cell r="G113">
            <v>53960</v>
          </cell>
        </row>
        <row r="114">
          <cell r="D114">
            <v>4300</v>
          </cell>
          <cell r="G114">
            <v>152779</v>
          </cell>
        </row>
        <row r="116">
          <cell r="G116">
            <v>28560.915599999997</v>
          </cell>
        </row>
        <row r="121">
          <cell r="D121">
            <v>2.58</v>
          </cell>
          <cell r="G121">
            <v>930.27060000000006</v>
          </cell>
        </row>
        <row r="122">
          <cell r="D122">
            <v>4.2</v>
          </cell>
          <cell r="G122">
            <v>287.02800000000002</v>
          </cell>
        </row>
        <row r="123">
          <cell r="D123">
            <v>60</v>
          </cell>
          <cell r="G123">
            <v>24639</v>
          </cell>
        </row>
        <row r="124">
          <cell r="D124">
            <v>60</v>
          </cell>
          <cell r="G124">
            <v>24639</v>
          </cell>
        </row>
        <row r="154">
          <cell r="G154">
            <v>126000</v>
          </cell>
        </row>
        <row r="155">
          <cell r="G155">
            <v>12000</v>
          </cell>
        </row>
        <row r="156">
          <cell r="G156">
            <v>90804</v>
          </cell>
        </row>
        <row r="158">
          <cell r="G158">
            <v>2872.33</v>
          </cell>
        </row>
        <row r="171">
          <cell r="G171">
            <v>264000</v>
          </cell>
        </row>
        <row r="173">
          <cell r="G173">
            <v>32483</v>
          </cell>
        </row>
        <row r="175">
          <cell r="G175">
            <v>62301.4</v>
          </cell>
        </row>
        <row r="177">
          <cell r="G177">
            <v>22468</v>
          </cell>
        </row>
        <row r="181">
          <cell r="G181">
            <v>4900</v>
          </cell>
        </row>
        <row r="232">
          <cell r="G232">
            <v>255800</v>
          </cell>
        </row>
        <row r="250">
          <cell r="G250">
            <v>1340</v>
          </cell>
        </row>
        <row r="270">
          <cell r="G270">
            <v>12400</v>
          </cell>
        </row>
        <row r="280">
          <cell r="G280">
            <v>23250</v>
          </cell>
        </row>
        <row r="410">
          <cell r="G410">
            <v>158320</v>
          </cell>
        </row>
      </sheetData>
      <sheetData sheetId="9" refreshError="1">
        <row r="21">
          <cell r="G21">
            <v>168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0">
          <cell r="Y10">
            <v>56835</v>
          </cell>
        </row>
        <row r="11">
          <cell r="Y11">
            <v>74567.520000000004</v>
          </cell>
        </row>
        <row r="12">
          <cell r="Y12">
            <v>60658.474999999999</v>
          </cell>
        </row>
        <row r="15">
          <cell r="Y15">
            <v>63689.760000000002</v>
          </cell>
        </row>
        <row r="17">
          <cell r="Y17">
            <v>63689.760000000002</v>
          </cell>
        </row>
        <row r="18">
          <cell r="Y18">
            <v>51961.56</v>
          </cell>
        </row>
        <row r="19">
          <cell r="Y19">
            <v>46823.399999999994</v>
          </cell>
        </row>
        <row r="20">
          <cell r="Y20">
            <v>41357.160000000003</v>
          </cell>
        </row>
        <row r="21">
          <cell r="Y21">
            <v>54082.439999999995</v>
          </cell>
        </row>
        <row r="24">
          <cell r="Y24">
            <v>54523.08</v>
          </cell>
        </row>
        <row r="25">
          <cell r="Y25">
            <v>52251.285000000003</v>
          </cell>
        </row>
        <row r="29">
          <cell r="Y29">
            <v>25357.440000000002</v>
          </cell>
        </row>
        <row r="33">
          <cell r="Y33">
            <v>22520.519999999997</v>
          </cell>
        </row>
      </sheetData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Анализ сметы расходов"/>
      <sheetName val="Штатное расписание"/>
      <sheetName val="Анализ шт. расписания"/>
      <sheetName val="Тариф. с учетом повышения"/>
      <sheetName val="КВР 100"/>
      <sheetName val="КВР 200"/>
      <sheetName val="КВР 800"/>
      <sheetName val="Финанс. сост. учрежд."/>
      <sheetName val="титул."/>
      <sheetName val="Приложение 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>
        <row r="10">
          <cell r="Y10">
            <v>54495</v>
          </cell>
        </row>
        <row r="16">
          <cell r="Y16">
            <v>36603.360000000001</v>
          </cell>
        </row>
      </sheetData>
      <sheetData sheetId="4" refreshError="1">
        <row r="4">
          <cell r="G4">
            <v>10315276</v>
          </cell>
        </row>
        <row r="83">
          <cell r="G83">
            <v>0</v>
          </cell>
        </row>
        <row r="89">
          <cell r="G89">
            <v>0</v>
          </cell>
        </row>
      </sheetData>
      <sheetData sheetId="5" refreshError="1">
        <row r="8">
          <cell r="G8">
            <v>0</v>
          </cell>
        </row>
        <row r="14">
          <cell r="G14">
            <v>0</v>
          </cell>
        </row>
        <row r="20">
          <cell r="G20">
            <v>0</v>
          </cell>
        </row>
        <row r="26">
          <cell r="G26">
            <v>0</v>
          </cell>
        </row>
        <row r="32">
          <cell r="G32">
            <v>0</v>
          </cell>
        </row>
        <row r="38">
          <cell r="G38">
            <v>0</v>
          </cell>
        </row>
        <row r="44">
          <cell r="G44">
            <v>0</v>
          </cell>
        </row>
        <row r="50">
          <cell r="G50">
            <v>0</v>
          </cell>
        </row>
        <row r="56">
          <cell r="G56">
            <v>0</v>
          </cell>
        </row>
        <row r="64">
          <cell r="G64">
            <v>0</v>
          </cell>
        </row>
        <row r="188">
          <cell r="G188">
            <v>0</v>
          </cell>
        </row>
        <row r="203">
          <cell r="G203">
            <v>0</v>
          </cell>
        </row>
        <row r="209">
          <cell r="G209">
            <v>0</v>
          </cell>
        </row>
        <row r="226">
          <cell r="G226">
            <v>0</v>
          </cell>
        </row>
        <row r="232">
          <cell r="G232">
            <v>0</v>
          </cell>
        </row>
        <row r="401">
          <cell r="G401">
            <v>0</v>
          </cell>
        </row>
      </sheetData>
      <sheetData sheetId="6" refreshError="1">
        <row r="8">
          <cell r="G8">
            <v>0</v>
          </cell>
        </row>
        <row r="14">
          <cell r="G14">
            <v>0</v>
          </cell>
        </row>
        <row r="28">
          <cell r="G28">
            <v>0</v>
          </cell>
        </row>
        <row r="34">
          <cell r="G34">
            <v>0</v>
          </cell>
        </row>
        <row r="39">
          <cell r="G39">
            <v>0</v>
          </cell>
        </row>
        <row r="45">
          <cell r="G45">
            <v>0</v>
          </cell>
        </row>
        <row r="51">
          <cell r="G51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Анализ сметы расходов"/>
      <sheetName val="Штатное расписание"/>
      <sheetName val="Анализ шт. расписания"/>
      <sheetName val="Тариф. с учетом повышения"/>
      <sheetName val="КВР 100"/>
      <sheetName val="КВР 200"/>
      <sheetName val="КВР 800"/>
      <sheetName val="Финанс. сост. учрежд."/>
      <sheetName val="титул."/>
      <sheetName val="Приложение 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2">
          <cell r="H72">
            <v>104743.08</v>
          </cell>
        </row>
        <row r="102">
          <cell r="G102">
            <v>3138613.764</v>
          </cell>
        </row>
        <row r="103">
          <cell r="G103">
            <v>430473.76199999993</v>
          </cell>
        </row>
        <row r="104">
          <cell r="G104">
            <v>527302.94099999999</v>
          </cell>
        </row>
        <row r="105">
          <cell r="G105">
            <v>3110.7844999999998</v>
          </cell>
        </row>
        <row r="117">
          <cell r="G117">
            <v>779166.41719999991</v>
          </cell>
        </row>
        <row r="174">
          <cell r="G174">
            <v>100000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opLeftCell="A16" workbookViewId="0">
      <selection activeCell="C28" sqref="C28"/>
    </sheetView>
  </sheetViews>
  <sheetFormatPr defaultRowHeight="15"/>
  <cols>
    <col min="1" max="1" width="31.85546875" customWidth="1"/>
    <col min="2" max="2" width="44.28515625" customWidth="1"/>
    <col min="3" max="3" width="26" customWidth="1"/>
    <col min="4" max="4" width="12.7109375" customWidth="1"/>
    <col min="5" max="5" width="13" customWidth="1"/>
    <col min="6" max="6" width="17.28515625" customWidth="1"/>
  </cols>
  <sheetData>
    <row r="1" spans="1:7" s="85" customFormat="1">
      <c r="B1" s="208" t="s">
        <v>235</v>
      </c>
      <c r="C1" s="208"/>
      <c r="D1" s="208"/>
      <c r="E1" s="208"/>
      <c r="F1" s="208"/>
    </row>
    <row r="2" spans="1:7" s="85" customFormat="1">
      <c r="B2" s="209"/>
      <c r="C2" s="209"/>
      <c r="D2" s="209"/>
      <c r="E2" s="209"/>
      <c r="F2" s="209"/>
      <c r="G2" s="146"/>
    </row>
    <row r="3" spans="1:7" s="85" customFormat="1" ht="31.5" customHeight="1">
      <c r="A3" s="210" t="s">
        <v>78</v>
      </c>
      <c r="B3" s="210" t="s">
        <v>79</v>
      </c>
      <c r="C3" s="223" t="s">
        <v>109</v>
      </c>
      <c r="D3" s="224"/>
      <c r="E3" s="224"/>
      <c r="F3" s="225"/>
      <c r="G3" s="146"/>
    </row>
    <row r="4" spans="1:7" s="85" customFormat="1" ht="15.75">
      <c r="A4" s="211"/>
      <c r="B4" s="211"/>
      <c r="C4" s="222" t="s">
        <v>45</v>
      </c>
      <c r="D4" s="222"/>
      <c r="E4" s="147" t="s">
        <v>0</v>
      </c>
      <c r="F4" s="147" t="s">
        <v>111</v>
      </c>
      <c r="G4" s="146"/>
    </row>
    <row r="5" spans="1:7" s="85" customFormat="1" ht="17.25" customHeight="1">
      <c r="A5" s="215" t="s">
        <v>77</v>
      </c>
      <c r="B5" s="212" t="s">
        <v>80</v>
      </c>
      <c r="C5" s="206" t="s">
        <v>75</v>
      </c>
      <c r="D5" s="218"/>
      <c r="E5" s="218"/>
      <c r="F5" s="207"/>
      <c r="G5" s="146"/>
    </row>
    <row r="6" spans="1:7" s="85" customFormat="1" ht="33.75" customHeight="1">
      <c r="A6" s="216"/>
      <c r="B6" s="213"/>
      <c r="C6" s="219" t="s">
        <v>81</v>
      </c>
      <c r="D6" s="220"/>
      <c r="E6" s="220"/>
      <c r="F6" s="221"/>
      <c r="G6" s="146"/>
    </row>
    <row r="7" spans="1:7" s="85" customFormat="1" ht="15.75">
      <c r="A7" s="216"/>
      <c r="B7" s="213"/>
      <c r="C7" s="219" t="s">
        <v>82</v>
      </c>
      <c r="D7" s="221"/>
      <c r="E7" s="161" t="s">
        <v>110</v>
      </c>
      <c r="F7" s="165">
        <f>'211,213 непосред. связан. усл'!C25+173728.04</f>
        <v>10494835.14218</v>
      </c>
      <c r="G7" s="146"/>
    </row>
    <row r="8" spans="1:7" s="85" customFormat="1" ht="33.75" customHeight="1">
      <c r="A8" s="216"/>
      <c r="B8" s="213"/>
      <c r="C8" s="219" t="s">
        <v>1</v>
      </c>
      <c r="D8" s="220"/>
      <c r="E8" s="220"/>
      <c r="F8" s="221"/>
      <c r="G8" s="146"/>
    </row>
    <row r="9" spans="1:7" s="85" customFormat="1" ht="33.75" customHeight="1">
      <c r="A9" s="216"/>
      <c r="B9" s="213"/>
      <c r="C9" s="206"/>
      <c r="D9" s="207"/>
      <c r="E9" s="161" t="s">
        <v>110</v>
      </c>
      <c r="F9" s="166">
        <f>'мат запасы и ОЦДИ'!C10</f>
        <v>255800</v>
      </c>
      <c r="G9" s="146"/>
    </row>
    <row r="10" spans="1:7" s="85" customFormat="1" ht="26.25" customHeight="1">
      <c r="A10" s="216"/>
      <c r="B10" s="213"/>
      <c r="C10" s="219" t="s">
        <v>2</v>
      </c>
      <c r="D10" s="220"/>
      <c r="E10" s="220"/>
      <c r="F10" s="221"/>
      <c r="G10" s="146"/>
    </row>
    <row r="11" spans="1:7" s="85" customFormat="1" ht="26.25" customHeight="1">
      <c r="A11" s="216"/>
      <c r="B11" s="213"/>
      <c r="C11" s="206"/>
      <c r="D11" s="207"/>
      <c r="E11" s="161" t="s">
        <v>110</v>
      </c>
      <c r="F11" s="165">
        <f>'иные затраты'!D16</f>
        <v>1031853.33</v>
      </c>
      <c r="G11" s="146"/>
    </row>
    <row r="12" spans="1:7" s="85" customFormat="1" ht="30" customHeight="1">
      <c r="A12" s="216"/>
      <c r="B12" s="213"/>
      <c r="C12" s="219" t="s">
        <v>3</v>
      </c>
      <c r="D12" s="220"/>
      <c r="E12" s="220"/>
      <c r="F12" s="221"/>
      <c r="G12" s="146"/>
    </row>
    <row r="13" spans="1:7" s="85" customFormat="1" ht="31.5" customHeight="1">
      <c r="A13" s="216"/>
      <c r="B13" s="213"/>
      <c r="C13" s="205" t="s">
        <v>4</v>
      </c>
      <c r="D13" s="205"/>
      <c r="E13" s="205"/>
      <c r="F13" s="205"/>
      <c r="G13" s="146"/>
    </row>
    <row r="14" spans="1:7" s="85" customFormat="1" ht="31.5" customHeight="1">
      <c r="A14" s="216"/>
      <c r="B14" s="213"/>
      <c r="C14" s="206"/>
      <c r="D14" s="207"/>
      <c r="E14" s="161" t="s">
        <v>110</v>
      </c>
      <c r="F14" s="165">
        <f>'комунальные услуги'!D15</f>
        <v>7142334.8339972012</v>
      </c>
      <c r="G14" s="146"/>
    </row>
    <row r="15" spans="1:7" s="85" customFormat="1" ht="30.75" customHeight="1">
      <c r="A15" s="216"/>
      <c r="B15" s="213"/>
      <c r="C15" s="205" t="s">
        <v>5</v>
      </c>
      <c r="D15" s="205"/>
      <c r="E15" s="205"/>
      <c r="F15" s="205"/>
      <c r="G15" s="146"/>
    </row>
    <row r="16" spans="1:7" s="85" customFormat="1" ht="30.75" customHeight="1">
      <c r="A16" s="216"/>
      <c r="B16" s="213"/>
      <c r="C16" s="206" t="s">
        <v>83</v>
      </c>
      <c r="D16" s="207"/>
      <c r="E16" s="161" t="s">
        <v>110</v>
      </c>
      <c r="F16" s="165">
        <v>0</v>
      </c>
      <c r="G16" s="146"/>
    </row>
    <row r="17" spans="1:7" s="85" customFormat="1" ht="29.25" customHeight="1">
      <c r="A17" s="216"/>
      <c r="B17" s="213"/>
      <c r="C17" s="205" t="s">
        <v>6</v>
      </c>
      <c r="D17" s="205"/>
      <c r="E17" s="205"/>
      <c r="F17" s="205"/>
      <c r="G17" s="146"/>
    </row>
    <row r="18" spans="1:7" s="85" customFormat="1" ht="29.25" customHeight="1">
      <c r="A18" s="216"/>
      <c r="B18" s="213"/>
      <c r="C18" s="206"/>
      <c r="D18" s="207"/>
      <c r="E18" s="161" t="s">
        <v>110</v>
      </c>
      <c r="F18" s="165">
        <f>0</f>
        <v>0</v>
      </c>
      <c r="G18" s="146"/>
    </row>
    <row r="19" spans="1:7" s="85" customFormat="1" ht="21.75" customHeight="1">
      <c r="A19" s="216"/>
      <c r="B19" s="213"/>
      <c r="C19" s="205" t="s">
        <v>7</v>
      </c>
      <c r="D19" s="205"/>
      <c r="E19" s="205"/>
      <c r="F19" s="205"/>
      <c r="G19" s="146"/>
    </row>
    <row r="20" spans="1:7" s="85" customFormat="1" ht="21.75" customHeight="1">
      <c r="A20" s="216"/>
      <c r="B20" s="213"/>
      <c r="C20" s="206"/>
      <c r="D20" s="207"/>
      <c r="E20" s="161" t="s">
        <v>110</v>
      </c>
      <c r="F20" s="165">
        <f>'221, на содер ОЦДИ'!D17</f>
        <v>186572.24</v>
      </c>
      <c r="G20" s="146"/>
    </row>
    <row r="21" spans="1:7" s="85" customFormat="1" ht="21.75" customHeight="1">
      <c r="A21" s="216"/>
      <c r="B21" s="213"/>
      <c r="C21" s="205" t="s">
        <v>8</v>
      </c>
      <c r="D21" s="205"/>
      <c r="E21" s="205"/>
      <c r="F21" s="205"/>
      <c r="G21" s="146"/>
    </row>
    <row r="22" spans="1:7" s="85" customFormat="1" ht="21.75" customHeight="1">
      <c r="A22" s="216"/>
      <c r="B22" s="213"/>
      <c r="C22" s="206"/>
      <c r="D22" s="207"/>
      <c r="E22" s="161" t="s">
        <v>110</v>
      </c>
      <c r="F22" s="165">
        <f>'222 (транст)'!D9</f>
        <v>13916.899999999998</v>
      </c>
      <c r="G22" s="146"/>
    </row>
    <row r="23" spans="1:7" s="85" customFormat="1" ht="31.5" customHeight="1">
      <c r="A23" s="216"/>
      <c r="B23" s="213"/>
      <c r="C23" s="205" t="s">
        <v>117</v>
      </c>
      <c r="D23" s="205"/>
      <c r="E23" s="205"/>
      <c r="F23" s="205"/>
      <c r="G23" s="146"/>
    </row>
    <row r="24" spans="1:7" s="85" customFormat="1" ht="31.5" customHeight="1">
      <c r="A24" s="216"/>
      <c r="B24" s="213"/>
      <c r="C24" s="206"/>
      <c r="D24" s="207"/>
      <c r="E24" s="161" t="s">
        <v>110</v>
      </c>
      <c r="F24" s="165">
        <f>'211,213 не связанные с оказ усл'!C18</f>
        <v>4136403.2773350002</v>
      </c>
      <c r="G24" s="146"/>
    </row>
    <row r="25" spans="1:7" s="85" customFormat="1" ht="47.25" customHeight="1">
      <c r="A25" s="217"/>
      <c r="B25" s="214"/>
      <c r="C25" s="205" t="s">
        <v>9</v>
      </c>
      <c r="D25" s="205"/>
      <c r="E25" s="205"/>
      <c r="F25" s="205"/>
    </row>
    <row r="26" spans="1:7" s="85" customFormat="1" ht="15.75">
      <c r="A26" s="148"/>
      <c r="B26" s="149"/>
      <c r="C26" s="206"/>
      <c r="D26" s="207"/>
      <c r="E26" s="161" t="s">
        <v>110</v>
      </c>
      <c r="F26" s="165">
        <f>'общехоз нужды'!D5</f>
        <v>243089.4</v>
      </c>
    </row>
    <row r="27" spans="1:7" s="85" customFormat="1"/>
    <row r="28" spans="1:7" s="85" customFormat="1" ht="25.5">
      <c r="B28" s="150" t="s">
        <v>236</v>
      </c>
      <c r="C28" s="91">
        <f>F7+F9+F11</f>
        <v>11782488.47218</v>
      </c>
    </row>
    <row r="29" spans="1:7" s="85" customFormat="1">
      <c r="B29" s="151"/>
      <c r="C29" s="152"/>
      <c r="D29" s="153"/>
      <c r="E29" s="153"/>
      <c r="F29" s="153"/>
    </row>
    <row r="30" spans="1:7" s="85" customFormat="1">
      <c r="B30" s="154"/>
    </row>
    <row r="31" spans="1:7" s="85" customFormat="1" ht="24">
      <c r="B31" s="155" t="s">
        <v>237</v>
      </c>
      <c r="C31" s="91">
        <f>F14+F16+F18+F20+F22+F24+F26</f>
        <v>11722316.651332201</v>
      </c>
    </row>
    <row r="32" spans="1:7" s="85" customFormat="1">
      <c r="B32" s="156"/>
      <c r="C32" s="91"/>
    </row>
    <row r="33" spans="2:3" s="85" customFormat="1">
      <c r="B33" s="154"/>
    </row>
    <row r="34" spans="2:3" s="85" customFormat="1" ht="24.75">
      <c r="B34" s="157" t="s">
        <v>76</v>
      </c>
      <c r="C34" s="91">
        <f>C28+C31</f>
        <v>23504805.123512201</v>
      </c>
    </row>
    <row r="35" spans="2:3" s="80" customFormat="1">
      <c r="C35" s="81"/>
    </row>
    <row r="36" spans="2:3" s="80" customFormat="1"/>
  </sheetData>
  <mergeCells count="29">
    <mergeCell ref="B1:F2"/>
    <mergeCell ref="B3:B4"/>
    <mergeCell ref="A3:A4"/>
    <mergeCell ref="B5:B25"/>
    <mergeCell ref="A5:A25"/>
    <mergeCell ref="C5:F5"/>
    <mergeCell ref="C12:F12"/>
    <mergeCell ref="C6:F6"/>
    <mergeCell ref="C7:D7"/>
    <mergeCell ref="C4:D4"/>
    <mergeCell ref="C3:F3"/>
    <mergeCell ref="C8:F8"/>
    <mergeCell ref="C9:D9"/>
    <mergeCell ref="C11:D11"/>
    <mergeCell ref="C10:F10"/>
    <mergeCell ref="C13:F13"/>
    <mergeCell ref="C25:F25"/>
    <mergeCell ref="C26:D26"/>
    <mergeCell ref="C24:D24"/>
    <mergeCell ref="C22:D22"/>
    <mergeCell ref="C14:D14"/>
    <mergeCell ref="C15:F15"/>
    <mergeCell ref="C16:D16"/>
    <mergeCell ref="C17:F17"/>
    <mergeCell ref="C19:F19"/>
    <mergeCell ref="C18:D18"/>
    <mergeCell ref="C21:F21"/>
    <mergeCell ref="C23:F23"/>
    <mergeCell ref="C20:D2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F6" sqref="F6"/>
    </sheetView>
  </sheetViews>
  <sheetFormatPr defaultRowHeight="15"/>
  <cols>
    <col min="1" max="1" width="29.140625" customWidth="1"/>
    <col min="2" max="2" width="15.5703125" customWidth="1"/>
    <col min="3" max="4" width="15.85546875" customWidth="1"/>
    <col min="5" max="5" width="23.7109375" customWidth="1"/>
    <col min="6" max="6" width="18.5703125" customWidth="1"/>
    <col min="7" max="7" width="15.140625" customWidth="1"/>
    <col min="8" max="8" width="16.7109375" customWidth="1"/>
    <col min="9" max="9" width="17.7109375" customWidth="1"/>
  </cols>
  <sheetData>
    <row r="1" spans="1:9" s="85" customFormat="1">
      <c r="A1" s="85" t="s">
        <v>118</v>
      </c>
    </row>
    <row r="2" spans="1:9" s="85" customFormat="1" ht="18.75">
      <c r="A2" s="232" t="s">
        <v>102</v>
      </c>
      <c r="B2" s="232"/>
      <c r="C2" s="232"/>
      <c r="D2" s="232"/>
      <c r="E2" s="232"/>
      <c r="F2" s="232"/>
      <c r="G2" s="232"/>
      <c r="H2" s="232"/>
      <c r="I2" s="232"/>
    </row>
    <row r="3" spans="1:9" s="85" customFormat="1"/>
    <row r="4" spans="1:9" s="85" customFormat="1" ht="53.25" customHeight="1">
      <c r="A4" s="107" t="s">
        <v>45</v>
      </c>
      <c r="B4" s="107" t="s">
        <v>25</v>
      </c>
      <c r="C4" s="107" t="s">
        <v>35</v>
      </c>
      <c r="D4" s="107" t="s">
        <v>113</v>
      </c>
      <c r="E4" s="107" t="s">
        <v>36</v>
      </c>
      <c r="F4" s="107" t="s">
        <v>87</v>
      </c>
      <c r="G4" s="107" t="s">
        <v>46</v>
      </c>
      <c r="H4" s="107" t="s">
        <v>38</v>
      </c>
      <c r="I4" s="107" t="s">
        <v>19</v>
      </c>
    </row>
    <row r="5" spans="1:9" s="85" customFormat="1">
      <c r="A5" s="106">
        <v>1</v>
      </c>
      <c r="B5" s="106">
        <v>2</v>
      </c>
      <c r="C5" s="106">
        <v>3</v>
      </c>
      <c r="D5" s="106"/>
      <c r="E5" s="106">
        <v>4</v>
      </c>
      <c r="F5" s="106">
        <v>5</v>
      </c>
      <c r="G5" s="106" t="s">
        <v>156</v>
      </c>
      <c r="H5" s="106">
        <v>7</v>
      </c>
      <c r="I5" s="106" t="s">
        <v>157</v>
      </c>
    </row>
    <row r="6" spans="1:9" s="85" customFormat="1" ht="17.25" customHeight="1">
      <c r="A6" s="33" t="s">
        <v>104</v>
      </c>
      <c r="B6" s="106" t="s">
        <v>95</v>
      </c>
      <c r="C6" s="106">
        <v>0</v>
      </c>
      <c r="D6" s="83">
        <v>0</v>
      </c>
      <c r="E6" s="83">
        <v>4200</v>
      </c>
      <c r="F6" s="106">
        <v>5.4</v>
      </c>
      <c r="G6" s="106">
        <f t="shared" ref="G6:G9" si="0">C6/E6*F6</f>
        <v>0</v>
      </c>
      <c r="H6" s="29">
        <v>0</v>
      </c>
      <c r="I6" s="84">
        <f t="shared" ref="I6:I9" si="1">G6*H6</f>
        <v>0</v>
      </c>
    </row>
    <row r="7" spans="1:9" s="85" customFormat="1" ht="31.5" customHeight="1">
      <c r="A7" s="33" t="s">
        <v>105</v>
      </c>
      <c r="B7" s="106" t="s">
        <v>95</v>
      </c>
      <c r="C7" s="106">
        <v>0</v>
      </c>
      <c r="D7" s="83">
        <v>0</v>
      </c>
      <c r="E7" s="83">
        <v>4200</v>
      </c>
      <c r="F7" s="106">
        <v>5.4</v>
      </c>
      <c r="G7" s="106">
        <f t="shared" si="0"/>
        <v>0</v>
      </c>
      <c r="H7" s="29">
        <v>0</v>
      </c>
      <c r="I7" s="84">
        <f t="shared" si="1"/>
        <v>0</v>
      </c>
    </row>
    <row r="8" spans="1:9" s="85" customFormat="1" ht="31.5" customHeight="1">
      <c r="A8" s="33" t="s">
        <v>106</v>
      </c>
      <c r="B8" s="106" t="s">
        <v>95</v>
      </c>
      <c r="C8" s="106">
        <v>0</v>
      </c>
      <c r="D8" s="83">
        <v>0</v>
      </c>
      <c r="E8" s="83">
        <v>4200</v>
      </c>
      <c r="F8" s="106">
        <v>5.4</v>
      </c>
      <c r="G8" s="106">
        <f t="shared" si="0"/>
        <v>0</v>
      </c>
      <c r="H8" s="29">
        <v>0</v>
      </c>
      <c r="I8" s="84">
        <f t="shared" si="1"/>
        <v>0</v>
      </c>
    </row>
    <row r="9" spans="1:9" s="85" customFormat="1" ht="31.5" customHeight="1">
      <c r="A9" s="33" t="s">
        <v>107</v>
      </c>
      <c r="B9" s="106" t="s">
        <v>95</v>
      </c>
      <c r="C9" s="106">
        <v>0</v>
      </c>
      <c r="D9" s="83">
        <v>0</v>
      </c>
      <c r="E9" s="83">
        <v>4200</v>
      </c>
      <c r="F9" s="106">
        <v>5.4</v>
      </c>
      <c r="G9" s="106">
        <f t="shared" si="0"/>
        <v>0</v>
      </c>
      <c r="H9" s="29">
        <v>0</v>
      </c>
      <c r="I9" s="84">
        <f t="shared" si="1"/>
        <v>0</v>
      </c>
    </row>
    <row r="10" spans="1:9" s="85" customFormat="1" ht="15.75">
      <c r="A10" s="33" t="s">
        <v>126</v>
      </c>
      <c r="B10" s="162"/>
      <c r="C10" s="162"/>
      <c r="D10" s="83">
        <f>'[1]КВР 200'!$G$171</f>
        <v>264000</v>
      </c>
      <c r="E10" s="83"/>
      <c r="F10" s="162"/>
      <c r="G10" s="162"/>
      <c r="H10" s="29"/>
      <c r="I10" s="84"/>
    </row>
    <row r="11" spans="1:9" s="85" customFormat="1" ht="48" customHeight="1">
      <c r="A11" s="33" t="s">
        <v>242</v>
      </c>
      <c r="B11" s="172"/>
      <c r="C11" s="172"/>
      <c r="D11" s="83">
        <f>'[1]КВР 200'!$G$154</f>
        <v>126000</v>
      </c>
      <c r="E11" s="83"/>
      <c r="F11" s="172"/>
      <c r="G11" s="172"/>
      <c r="H11" s="29"/>
      <c r="I11" s="84"/>
    </row>
    <row r="12" spans="1:9" s="85" customFormat="1" ht="48" customHeight="1">
      <c r="A12" s="33" t="s">
        <v>261</v>
      </c>
      <c r="B12" s="172"/>
      <c r="C12" s="172"/>
      <c r="D12" s="83">
        <f>'[1]КВР 200'!$G$155</f>
        <v>12000</v>
      </c>
      <c r="E12" s="83"/>
      <c r="F12" s="172"/>
      <c r="G12" s="172"/>
      <c r="H12" s="29"/>
      <c r="I12" s="84"/>
    </row>
    <row r="13" spans="1:9" s="85" customFormat="1" ht="48" customHeight="1">
      <c r="A13" s="33" t="s">
        <v>262</v>
      </c>
      <c r="B13" s="162"/>
      <c r="C13" s="162"/>
      <c r="D13" s="83">
        <f>'[1]КВР 200'!$G$156</f>
        <v>90804</v>
      </c>
      <c r="E13" s="83"/>
      <c r="F13" s="162"/>
      <c r="G13" s="162"/>
      <c r="H13" s="29"/>
      <c r="I13" s="84"/>
    </row>
    <row r="14" spans="1:9" s="85" customFormat="1" ht="15" customHeight="1">
      <c r="A14" s="251" t="s">
        <v>103</v>
      </c>
      <c r="B14" s="251"/>
      <c r="C14" s="251"/>
      <c r="D14" s="251"/>
      <c r="E14" s="251"/>
      <c r="F14" s="251"/>
      <c r="G14" s="251"/>
      <c r="H14" s="251"/>
      <c r="I14" s="105">
        <f>SUM(I6:I9)</f>
        <v>0</v>
      </c>
    </row>
    <row r="15" spans="1:9" s="85" customFormat="1"/>
    <row r="16" spans="1:9" s="85" customFormat="1">
      <c r="D16" s="91">
        <f>SUM(D6:D13)</f>
        <v>492804</v>
      </c>
    </row>
    <row r="17" spans="4:4" s="85" customFormat="1"/>
    <row r="18" spans="4:4" s="85" customFormat="1"/>
    <row r="19" spans="4:4" s="85" customFormat="1">
      <c r="D19" s="91"/>
    </row>
    <row r="20" spans="4:4" s="85" customFormat="1"/>
    <row r="21" spans="4:4" s="85" customFormat="1" ht="15" customHeight="1"/>
  </sheetData>
  <mergeCells count="2">
    <mergeCell ref="A2:I2"/>
    <mergeCell ref="A14:H1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I23" sqref="I23"/>
    </sheetView>
  </sheetViews>
  <sheetFormatPr defaultRowHeight="15"/>
  <cols>
    <col min="1" max="1" width="19.28515625" customWidth="1"/>
    <col min="2" max="2" width="14.5703125" customWidth="1"/>
    <col min="3" max="4" width="14.28515625" customWidth="1"/>
    <col min="5" max="5" width="19" customWidth="1"/>
    <col min="6" max="6" width="15.5703125" customWidth="1"/>
    <col min="7" max="7" width="17" customWidth="1"/>
    <col min="8" max="8" width="14.42578125" customWidth="1"/>
    <col min="9" max="9" width="13.5703125" customWidth="1"/>
  </cols>
  <sheetData>
    <row r="1" spans="1:11" ht="15.75">
      <c r="A1" s="93" t="s">
        <v>33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 ht="21" customHeight="1">
      <c r="A3" s="266" t="s">
        <v>263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</row>
    <row r="4" spans="1:11" ht="19.5" customHeight="1">
      <c r="A4" s="266" t="s">
        <v>159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</row>
    <row r="5" spans="1:11" ht="35.25" customHeight="1">
      <c r="A5" s="266" t="s">
        <v>264</v>
      </c>
      <c r="B5" s="266"/>
      <c r="C5" s="266"/>
      <c r="D5" s="266"/>
      <c r="E5" s="266"/>
      <c r="F5" s="266"/>
      <c r="G5" s="266"/>
      <c r="H5" s="266"/>
      <c r="I5" s="266"/>
      <c r="J5" s="94"/>
      <c r="K5" s="94"/>
    </row>
    <row r="6" spans="1:1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1" ht="72" customHeight="1">
      <c r="A7" s="86" t="s">
        <v>34</v>
      </c>
      <c r="B7" s="86" t="s">
        <v>25</v>
      </c>
      <c r="C7" s="86" t="s">
        <v>35</v>
      </c>
      <c r="D7" s="86" t="s">
        <v>113</v>
      </c>
      <c r="E7" s="86" t="s">
        <v>36</v>
      </c>
      <c r="F7" s="86" t="s">
        <v>42</v>
      </c>
      <c r="G7" s="86" t="s">
        <v>37</v>
      </c>
      <c r="H7" s="86" t="s">
        <v>38</v>
      </c>
      <c r="I7" s="86" t="s">
        <v>19</v>
      </c>
      <c r="J7" s="85"/>
      <c r="K7" s="85"/>
    </row>
    <row r="8" spans="1:11">
      <c r="A8" s="82">
        <v>1</v>
      </c>
      <c r="B8" s="82">
        <v>2</v>
      </c>
      <c r="C8" s="82">
        <v>3</v>
      </c>
      <c r="D8" s="82"/>
      <c r="E8" s="82">
        <v>4</v>
      </c>
      <c r="F8" s="82">
        <v>5</v>
      </c>
      <c r="G8" s="82" t="s">
        <v>156</v>
      </c>
      <c r="H8" s="82">
        <v>7</v>
      </c>
      <c r="I8" s="82" t="s">
        <v>157</v>
      </c>
      <c r="J8" s="85"/>
      <c r="K8" s="85"/>
    </row>
    <row r="9" spans="1:11">
      <c r="A9" s="88" t="s">
        <v>39</v>
      </c>
      <c r="B9" s="82" t="s">
        <v>86</v>
      </c>
      <c r="C9" s="83">
        <f>'[1]КВР 200'!$D$111</f>
        <v>12950</v>
      </c>
      <c r="D9" s="83">
        <f>'[1]КВР 200'!$G$112+'[1]КВР 200'!$G$113+'[1]КВР 200'!$G$114+'[1]КВР 200'!$G$116</f>
        <v>567446.1155999999</v>
      </c>
      <c r="E9" s="83">
        <v>3968</v>
      </c>
      <c r="F9" s="82">
        <v>5.4</v>
      </c>
      <c r="G9" s="89">
        <f>C9/E9*F9</f>
        <v>17.623487903225808</v>
      </c>
      <c r="H9" s="82">
        <v>37.200000000000003</v>
      </c>
      <c r="I9" s="90">
        <f>G9*H9</f>
        <v>655.59375000000011</v>
      </c>
      <c r="J9" s="85"/>
      <c r="K9" s="85"/>
    </row>
    <row r="10" spans="1:11">
      <c r="A10" s="88" t="s">
        <v>40</v>
      </c>
      <c r="B10" s="82" t="s">
        <v>85</v>
      </c>
      <c r="C10" s="83">
        <f>'[1]КВР 200'!$D$101</f>
        <v>418.37</v>
      </c>
      <c r="D10" s="83">
        <f>'[1]КВР 200'!$G$102+'[1]КВР 200'!$G$103+'[1]КВР 200'!$G$104+'[1]КВР 200'!$G$107</f>
        <v>6524393.4197972007</v>
      </c>
      <c r="E10" s="83">
        <v>3968</v>
      </c>
      <c r="F10" s="82">
        <v>5.4</v>
      </c>
      <c r="G10" s="89">
        <f t="shared" ref="G10:G12" si="0">C10/E10*F10</f>
        <v>0.56935433467741936</v>
      </c>
      <c r="H10" s="83">
        <v>8720.33</v>
      </c>
      <c r="I10" s="90">
        <f>G10*H10</f>
        <v>4964.9576853175404</v>
      </c>
      <c r="J10" s="85"/>
      <c r="K10" s="85"/>
    </row>
    <row r="11" spans="1:11" ht="18">
      <c r="A11" s="88" t="s">
        <v>245</v>
      </c>
      <c r="B11" s="143" t="s">
        <v>160</v>
      </c>
      <c r="C11" s="83">
        <f>'[1]КВР 200'!$D$123+'[1]КВР 200'!$D$124</f>
        <v>120</v>
      </c>
      <c r="D11" s="83">
        <f>'[1]КВР 200'!$G$123+'[1]КВР 200'!$G$124</f>
        <v>49278</v>
      </c>
      <c r="E11" s="83">
        <v>3968</v>
      </c>
      <c r="F11" s="143">
        <v>5.4</v>
      </c>
      <c r="G11" s="89">
        <f t="shared" ref="G11" si="1">C11/E11*F11</f>
        <v>0.16330645161290325</v>
      </c>
      <c r="H11" s="143">
        <v>223.87</v>
      </c>
      <c r="I11" s="90">
        <f t="shared" ref="I11" si="2">G11*H11</f>
        <v>36.559415322580648</v>
      </c>
      <c r="J11" s="85"/>
      <c r="K11" s="85"/>
    </row>
    <row r="12" spans="1:11" ht="18">
      <c r="A12" s="88" t="s">
        <v>84</v>
      </c>
      <c r="B12" s="82" t="s">
        <v>160</v>
      </c>
      <c r="C12" s="83">
        <f>'[1]КВР 200'!$D$121+'[1]КВР 200'!$D$122</f>
        <v>6.78</v>
      </c>
      <c r="D12" s="83">
        <f>'[1]КВР 200'!$G$121+'[1]КВР 200'!$G$122</f>
        <v>1217.2986000000001</v>
      </c>
      <c r="E12" s="83">
        <v>3968</v>
      </c>
      <c r="F12" s="82">
        <v>5.4</v>
      </c>
      <c r="G12" s="89">
        <f t="shared" si="0"/>
        <v>9.2268145161290335E-3</v>
      </c>
      <c r="H12" s="82">
        <v>223.87</v>
      </c>
      <c r="I12" s="90">
        <f t="shared" ref="I12" si="3">G12*H12</f>
        <v>2.0656069657258067</v>
      </c>
      <c r="J12" s="85"/>
      <c r="K12" s="85"/>
    </row>
    <row r="13" spans="1:11" s="87" customFormat="1">
      <c r="A13" s="265" t="s">
        <v>41</v>
      </c>
      <c r="B13" s="265"/>
      <c r="C13" s="265"/>
      <c r="D13" s="265"/>
      <c r="E13" s="265"/>
      <c r="F13" s="265"/>
      <c r="G13" s="265"/>
      <c r="H13" s="265"/>
      <c r="I13" s="92">
        <f>I9+I10+I12</f>
        <v>5622.6170422832665</v>
      </c>
    </row>
    <row r="14" spans="1:1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</row>
    <row r="15" spans="1:11">
      <c r="A15" s="85"/>
      <c r="B15" s="85"/>
      <c r="C15" s="85"/>
      <c r="D15" s="91">
        <f>D9+D10+D12+D11</f>
        <v>7142334.8339972012</v>
      </c>
      <c r="E15" s="85"/>
      <c r="F15" s="85"/>
      <c r="G15" s="85"/>
      <c r="H15" s="85"/>
      <c r="I15" s="85"/>
      <c r="J15" s="85"/>
      <c r="K15" s="85"/>
    </row>
    <row r="16" spans="1:11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</row>
    <row r="17" spans="1:11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</row>
  </sheetData>
  <mergeCells count="4">
    <mergeCell ref="A13:H13"/>
    <mergeCell ref="A5:I5"/>
    <mergeCell ref="A4:K4"/>
    <mergeCell ref="A3:K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3"/>
  <sheetViews>
    <sheetView topLeftCell="A16" zoomScale="115" zoomScaleNormal="115" workbookViewId="0">
      <selection activeCell="F10" sqref="F10"/>
    </sheetView>
  </sheetViews>
  <sheetFormatPr defaultRowHeight="15"/>
  <cols>
    <col min="1" max="1" width="19.28515625" customWidth="1"/>
    <col min="2" max="2" width="14.5703125" customWidth="1"/>
    <col min="3" max="4" width="14.28515625" customWidth="1"/>
    <col min="5" max="5" width="19" customWidth="1"/>
    <col min="6" max="6" width="15.5703125" customWidth="1"/>
    <col min="7" max="7" width="17" customWidth="1"/>
    <col min="8" max="8" width="14.42578125" customWidth="1"/>
    <col min="9" max="9" width="13.5703125" customWidth="1"/>
  </cols>
  <sheetData>
    <row r="1" spans="1:11" s="85" customFormat="1">
      <c r="A1" s="85" t="s">
        <v>118</v>
      </c>
    </row>
    <row r="2" spans="1:11" s="85" customFormat="1" ht="15.75">
      <c r="A2" s="93" t="s">
        <v>33</v>
      </c>
    </row>
    <row r="3" spans="1:11" s="85" customFormat="1"/>
    <row r="4" spans="1:11" s="85" customFormat="1" ht="21" customHeight="1">
      <c r="A4" s="266" t="s">
        <v>263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</row>
    <row r="5" spans="1:11" s="85" customFormat="1" ht="19.5" customHeight="1">
      <c r="A5" s="266" t="s">
        <v>159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</row>
    <row r="6" spans="1:11" s="85" customFormat="1" ht="35.25" customHeight="1">
      <c r="A6" s="266" t="s">
        <v>264</v>
      </c>
      <c r="B6" s="266"/>
      <c r="C6" s="266"/>
      <c r="D6" s="266"/>
      <c r="E6" s="266"/>
      <c r="F6" s="266"/>
      <c r="G6" s="266"/>
      <c r="H6" s="266"/>
      <c r="I6" s="266"/>
      <c r="J6" s="94"/>
      <c r="K6" s="94"/>
    </row>
    <row r="7" spans="1:11" s="85" customFormat="1"/>
    <row r="8" spans="1:11" s="85" customFormat="1" ht="72" customHeight="1">
      <c r="A8" s="86" t="s">
        <v>34</v>
      </c>
      <c r="B8" s="86" t="s">
        <v>25</v>
      </c>
      <c r="C8" s="86" t="s">
        <v>35</v>
      </c>
      <c r="D8" s="86" t="s">
        <v>113</v>
      </c>
      <c r="E8" s="86" t="s">
        <v>36</v>
      </c>
      <c r="F8" s="86" t="s">
        <v>42</v>
      </c>
      <c r="G8" s="86" t="s">
        <v>37</v>
      </c>
      <c r="H8" s="86" t="s">
        <v>38</v>
      </c>
      <c r="I8" s="86" t="s">
        <v>19</v>
      </c>
    </row>
    <row r="9" spans="1:11" s="85" customFormat="1">
      <c r="A9" s="82">
        <v>1</v>
      </c>
      <c r="B9" s="82">
        <v>2</v>
      </c>
      <c r="C9" s="82">
        <v>3</v>
      </c>
      <c r="D9" s="82"/>
      <c r="E9" s="82">
        <v>4</v>
      </c>
      <c r="F9" s="82">
        <v>5</v>
      </c>
      <c r="G9" s="82" t="s">
        <v>156</v>
      </c>
      <c r="H9" s="82">
        <v>7</v>
      </c>
      <c r="I9" s="82" t="s">
        <v>157</v>
      </c>
    </row>
    <row r="10" spans="1:11" s="85" customFormat="1">
      <c r="A10" s="88" t="s">
        <v>39</v>
      </c>
      <c r="B10" s="131" t="s">
        <v>238</v>
      </c>
      <c r="C10" s="83">
        <f>'[1]КВР 200'!$D$112+'[1]КВР 200'!$D$113+'[1]КВР 200'!$D$114*30%</f>
        <v>9940</v>
      </c>
      <c r="D10" s="83">
        <f>'[3]КВР 200'!$G$117*30%</f>
        <v>233749.92515999996</v>
      </c>
      <c r="E10" s="83">
        <v>3968</v>
      </c>
      <c r="F10" s="82">
        <v>5.4</v>
      </c>
      <c r="G10" s="89">
        <f>C10/E10*F10</f>
        <v>13.527217741935484</v>
      </c>
      <c r="H10" s="82">
        <f>'комунальные услуги'!H9</f>
        <v>37.200000000000003</v>
      </c>
      <c r="I10" s="90">
        <f>G10*H10</f>
        <v>503.21250000000003</v>
      </c>
    </row>
    <row r="11" spans="1:11" s="85" customFormat="1">
      <c r="A11" s="88" t="s">
        <v>40</v>
      </c>
      <c r="B11" s="131" t="s">
        <v>239</v>
      </c>
      <c r="C11" s="82">
        <f>'[1]КВР 200'!$D$102+'[1]КВР 200'!$D$103+'[1]КВР 200'!$D$104*70%</f>
        <v>403.37</v>
      </c>
      <c r="D11" s="83">
        <f>('[3]КВР 200'!$G$102+'[3]КВР 200'!$G$103+'[3]КВР 200'!$G$104)*70%*1.051</f>
        <v>3013714.4665718996</v>
      </c>
      <c r="E11" s="83">
        <v>3968</v>
      </c>
      <c r="F11" s="82">
        <v>5.4</v>
      </c>
      <c r="G11" s="89">
        <f t="shared" ref="G11:G12" si="0">C11/E11*F11</f>
        <v>0.54894102822580648</v>
      </c>
      <c r="H11" s="83">
        <f>'комунальные услуги'!H10</f>
        <v>8720.33</v>
      </c>
      <c r="I11" s="90">
        <f t="shared" ref="I11:I12" si="1">G11*H11</f>
        <v>4786.9469166683466</v>
      </c>
    </row>
    <row r="12" spans="1:11" s="85" customFormat="1" ht="30">
      <c r="A12" s="88" t="s">
        <v>240</v>
      </c>
      <c r="B12" s="131" t="s">
        <v>241</v>
      </c>
      <c r="C12" s="83">
        <f>'[1]КВР 200'!$D$105</f>
        <v>5.29</v>
      </c>
      <c r="D12" s="83">
        <f>'[3]КВР 200'!$G$105*1.051</f>
        <v>3269.4345094999994</v>
      </c>
      <c r="E12" s="83">
        <v>3968</v>
      </c>
      <c r="F12" s="82">
        <v>5.4</v>
      </c>
      <c r="G12" s="89">
        <f t="shared" si="0"/>
        <v>7.1990927419354851E-3</v>
      </c>
      <c r="H12" s="158">
        <v>618.04</v>
      </c>
      <c r="I12" s="90">
        <f t="shared" si="1"/>
        <v>4.4493272782258071</v>
      </c>
    </row>
    <row r="13" spans="1:11" s="85" customFormat="1">
      <c r="A13" s="251" t="s">
        <v>41</v>
      </c>
      <c r="B13" s="251"/>
      <c r="C13" s="251"/>
      <c r="D13" s="251"/>
      <c r="E13" s="251"/>
      <c r="F13" s="251"/>
      <c r="G13" s="251"/>
      <c r="H13" s="251"/>
      <c r="I13" s="92">
        <f>I10+I11+I12</f>
        <v>5294.6087439465718</v>
      </c>
    </row>
    <row r="14" spans="1:11" s="85" customFormat="1"/>
    <row r="15" spans="1:11" s="85" customFormat="1">
      <c r="D15" s="91">
        <f>D10+D11+D12</f>
        <v>3250733.8262413996</v>
      </c>
    </row>
    <row r="16" spans="1:11" s="85" customFormat="1"/>
    <row r="17" spans="1:11" s="85" customFormat="1"/>
    <row r="18" spans="1:11" s="85" customFormat="1">
      <c r="A18" s="85" t="s">
        <v>119</v>
      </c>
    </row>
    <row r="19" spans="1:11" s="85" customFormat="1" ht="15.75">
      <c r="A19" s="93" t="s">
        <v>33</v>
      </c>
    </row>
    <row r="20" spans="1:11" s="85" customFormat="1"/>
    <row r="21" spans="1:11" s="85" customFormat="1" ht="21" customHeight="1">
      <c r="A21" s="266" t="s">
        <v>263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</row>
    <row r="22" spans="1:11" s="85" customFormat="1" ht="19.5" customHeight="1">
      <c r="A22" s="266" t="s">
        <v>159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</row>
    <row r="23" spans="1:11" s="85" customFormat="1" ht="35.25" customHeight="1">
      <c r="A23" s="266" t="s">
        <v>264</v>
      </c>
      <c r="B23" s="266"/>
      <c r="C23" s="266"/>
      <c r="D23" s="266"/>
      <c r="E23" s="266"/>
      <c r="F23" s="266"/>
      <c r="G23" s="266"/>
      <c r="H23" s="266"/>
      <c r="I23" s="266"/>
      <c r="J23" s="94"/>
      <c r="K23" s="94"/>
    </row>
    <row r="24" spans="1:11" s="85" customFormat="1"/>
    <row r="25" spans="1:11" s="85" customFormat="1" ht="72" customHeight="1">
      <c r="A25" s="86" t="s">
        <v>34</v>
      </c>
      <c r="B25" s="86" t="s">
        <v>25</v>
      </c>
      <c r="C25" s="86" t="s">
        <v>35</v>
      </c>
      <c r="D25" s="86" t="s">
        <v>113</v>
      </c>
      <c r="E25" s="86" t="s">
        <v>36</v>
      </c>
      <c r="F25" s="86" t="s">
        <v>42</v>
      </c>
      <c r="G25" s="86" t="s">
        <v>37</v>
      </c>
      <c r="H25" s="86" t="s">
        <v>38</v>
      </c>
      <c r="I25" s="86" t="s">
        <v>19</v>
      </c>
    </row>
    <row r="26" spans="1:11" s="85" customFormat="1">
      <c r="A26" s="82">
        <v>1</v>
      </c>
      <c r="B26" s="82">
        <v>2</v>
      </c>
      <c r="C26" s="82">
        <v>3</v>
      </c>
      <c r="D26" s="82"/>
      <c r="E26" s="82">
        <v>4</v>
      </c>
      <c r="F26" s="82">
        <v>5</v>
      </c>
      <c r="G26" s="82" t="s">
        <v>156</v>
      </c>
      <c r="H26" s="82">
        <v>7</v>
      </c>
      <c r="I26" s="82" t="s">
        <v>157</v>
      </c>
    </row>
    <row r="27" spans="1:11" s="85" customFormat="1">
      <c r="A27" s="88" t="s">
        <v>39</v>
      </c>
      <c r="B27" s="173" t="s">
        <v>127</v>
      </c>
      <c r="C27" s="83">
        <v>2590</v>
      </c>
      <c r="D27" s="83">
        <v>37798.39</v>
      </c>
      <c r="E27" s="83">
        <v>3968</v>
      </c>
      <c r="F27" s="82">
        <v>5.4</v>
      </c>
      <c r="G27" s="89">
        <f>C27/E27*F27</f>
        <v>3.5246975806451615</v>
      </c>
      <c r="H27" s="82">
        <v>34.97</v>
      </c>
      <c r="I27" s="90">
        <f>G27*H27</f>
        <v>123.25867439516129</v>
      </c>
    </row>
    <row r="28" spans="1:11" s="85" customFormat="1">
      <c r="A28" s="88" t="s">
        <v>40</v>
      </c>
      <c r="B28" s="173" t="s">
        <v>85</v>
      </c>
      <c r="C28" s="82">
        <v>125.51</v>
      </c>
      <c r="D28" s="83">
        <v>407936.23</v>
      </c>
      <c r="E28" s="83">
        <v>3968</v>
      </c>
      <c r="F28" s="82">
        <v>5.4</v>
      </c>
      <c r="G28" s="89">
        <f t="shared" ref="G28:G29" si="2">C28/E28*F28</f>
        <v>0.17080493951612905</v>
      </c>
      <c r="H28" s="83">
        <v>10632.08</v>
      </c>
      <c r="I28" s="90">
        <f t="shared" ref="I28:I29" si="3">G28*H28</f>
        <v>1816.0117813306454</v>
      </c>
    </row>
    <row r="29" spans="1:11" s="85" customFormat="1" ht="18">
      <c r="A29" s="88" t="s">
        <v>84</v>
      </c>
      <c r="B29" s="173" t="s">
        <v>160</v>
      </c>
      <c r="C29" s="82">
        <v>3.39</v>
      </c>
      <c r="D29" s="83">
        <v>3425.6</v>
      </c>
      <c r="E29" s="83">
        <v>3968</v>
      </c>
      <c r="F29" s="82">
        <v>5.4</v>
      </c>
      <c r="G29" s="89">
        <f t="shared" si="2"/>
        <v>4.6134072580645167E-3</v>
      </c>
      <c r="H29" s="82">
        <v>735.92</v>
      </c>
      <c r="I29" s="90">
        <f t="shared" si="3"/>
        <v>3.3950986693548391</v>
      </c>
    </row>
    <row r="30" spans="1:11" s="85" customFormat="1">
      <c r="A30" s="251" t="s">
        <v>41</v>
      </c>
      <c r="B30" s="251"/>
      <c r="C30" s="251"/>
      <c r="D30" s="251"/>
      <c r="E30" s="251"/>
      <c r="F30" s="251"/>
      <c r="G30" s="251"/>
      <c r="H30" s="251"/>
      <c r="I30" s="108">
        <f>I27+I28+I29</f>
        <v>1942.6655543951615</v>
      </c>
    </row>
    <row r="31" spans="1:11" s="85" customFormat="1"/>
    <row r="32" spans="1:11" s="85" customFormat="1">
      <c r="D32" s="91">
        <f>D27+D28+D29</f>
        <v>449160.22</v>
      </c>
    </row>
    <row r="33" s="85" customFormat="1"/>
  </sheetData>
  <mergeCells count="8">
    <mergeCell ref="A23:I23"/>
    <mergeCell ref="A30:H30"/>
    <mergeCell ref="A4:K4"/>
    <mergeCell ref="A5:K5"/>
    <mergeCell ref="A6:I6"/>
    <mergeCell ref="A13:H13"/>
    <mergeCell ref="A21:K21"/>
    <mergeCell ref="A22:K2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I15" sqref="I15"/>
    </sheetView>
  </sheetViews>
  <sheetFormatPr defaultRowHeight="15"/>
  <cols>
    <col min="1" max="1" width="32.85546875" style="7" customWidth="1"/>
    <col min="2" max="2" width="11.5703125" style="7" customWidth="1"/>
    <col min="3" max="3" width="9.140625" style="7"/>
    <col min="4" max="4" width="14" style="7" customWidth="1"/>
    <col min="5" max="5" width="14.42578125" style="7" customWidth="1"/>
    <col min="6" max="6" width="14.5703125" style="7" customWidth="1"/>
    <col min="7" max="7" width="11.42578125" style="7" customWidth="1"/>
    <col min="8" max="8" width="9.140625" style="7"/>
    <col min="9" max="9" width="13.42578125" style="7" customWidth="1"/>
    <col min="10" max="16384" width="9.140625" style="7"/>
  </cols>
  <sheetData>
    <row r="1" spans="1:9">
      <c r="A1" s="267" t="s">
        <v>48</v>
      </c>
      <c r="B1" s="267"/>
      <c r="C1" s="267"/>
      <c r="D1" s="267"/>
      <c r="E1" s="267"/>
      <c r="F1" s="267"/>
      <c r="G1" s="267"/>
      <c r="H1" s="267"/>
      <c r="I1" s="267"/>
    </row>
    <row r="3" spans="1:9" ht="70.5" customHeight="1">
      <c r="A3" s="4" t="s">
        <v>49</v>
      </c>
      <c r="B3" s="4" t="s">
        <v>25</v>
      </c>
      <c r="C3" s="4" t="s">
        <v>35</v>
      </c>
      <c r="D3" s="4" t="s">
        <v>36</v>
      </c>
      <c r="E3" s="4" t="s">
        <v>42</v>
      </c>
      <c r="F3" s="4" t="s">
        <v>46</v>
      </c>
      <c r="G3" s="4" t="s">
        <v>38</v>
      </c>
      <c r="H3" s="4" t="s">
        <v>50</v>
      </c>
      <c r="I3" s="4" t="s">
        <v>19</v>
      </c>
    </row>
    <row r="4" spans="1:9" ht="17.25" customHeight="1">
      <c r="A4" s="5">
        <v>1</v>
      </c>
      <c r="B4" s="5">
        <v>2</v>
      </c>
      <c r="C4" s="5">
        <v>3</v>
      </c>
      <c r="D4" s="5">
        <v>4</v>
      </c>
      <c r="E4" s="5">
        <v>5</v>
      </c>
      <c r="F4" s="5" t="s">
        <v>43</v>
      </c>
      <c r="G4" s="5">
        <v>7</v>
      </c>
      <c r="H4" s="5">
        <v>8</v>
      </c>
      <c r="I4" s="5" t="s">
        <v>60</v>
      </c>
    </row>
    <row r="5" spans="1:9" s="23" customFormat="1" ht="15.75">
      <c r="A5" s="22" t="s">
        <v>88</v>
      </c>
      <c r="B5" s="8" t="s">
        <v>95</v>
      </c>
      <c r="C5" s="16">
        <v>8</v>
      </c>
      <c r="D5" s="203">
        <v>4400</v>
      </c>
      <c r="E5" s="204">
        <v>5.4</v>
      </c>
      <c r="F5" s="16">
        <f>C5/D5*E5</f>
        <v>9.8181818181818196E-3</v>
      </c>
      <c r="G5" s="28">
        <v>682.13</v>
      </c>
      <c r="H5" s="16">
        <v>12</v>
      </c>
      <c r="I5" s="19">
        <f>F5*G5*H5</f>
        <v>80.367316363636377</v>
      </c>
    </row>
    <row r="6" spans="1:9" s="23" customFormat="1" ht="31.5">
      <c r="A6" s="22" t="s">
        <v>89</v>
      </c>
      <c r="B6" s="8" t="s">
        <v>95</v>
      </c>
      <c r="C6" s="16">
        <v>5</v>
      </c>
      <c r="D6" s="203">
        <v>4400</v>
      </c>
      <c r="E6" s="204">
        <v>5.4</v>
      </c>
      <c r="F6" s="16">
        <f t="shared" ref="F6:F14" si="0">C6/D6*E6</f>
        <v>6.1363636363636368E-3</v>
      </c>
      <c r="G6" s="28">
        <v>244.16</v>
      </c>
      <c r="H6" s="16">
        <v>12</v>
      </c>
      <c r="I6" s="19">
        <f t="shared" ref="I6:I14" si="1">F6*G6*H6</f>
        <v>17.979054545454545</v>
      </c>
    </row>
    <row r="7" spans="1:9" s="23" customFormat="1" ht="15.75">
      <c r="A7" s="22" t="s">
        <v>268</v>
      </c>
      <c r="B7" s="8" t="s">
        <v>95</v>
      </c>
      <c r="C7" s="144">
        <v>1900</v>
      </c>
      <c r="D7" s="203">
        <v>4400</v>
      </c>
      <c r="E7" s="204">
        <v>5.4</v>
      </c>
      <c r="F7" s="144">
        <f t="shared" ref="F7" si="2">C7/D7*E7</f>
        <v>2.331818181818182</v>
      </c>
      <c r="G7" s="28">
        <v>2</v>
      </c>
      <c r="H7" s="144">
        <v>12</v>
      </c>
      <c r="I7" s="19">
        <f t="shared" ref="I7" si="3">F7*G7*H7</f>
        <v>55.963636363636368</v>
      </c>
    </row>
    <row r="8" spans="1:9" s="23" customFormat="1" ht="15.75">
      <c r="A8" s="22" t="s">
        <v>90</v>
      </c>
      <c r="B8" s="8" t="s">
        <v>95</v>
      </c>
      <c r="C8" s="132">
        <v>1</v>
      </c>
      <c r="D8" s="203">
        <v>4400</v>
      </c>
      <c r="E8" s="204">
        <v>5.4</v>
      </c>
      <c r="F8" s="16">
        <f t="shared" si="0"/>
        <v>1.2272727272727275E-3</v>
      </c>
      <c r="G8" s="28">
        <v>720.17</v>
      </c>
      <c r="H8" s="16">
        <v>12</v>
      </c>
      <c r="I8" s="19">
        <f t="shared" si="1"/>
        <v>10.606140000000002</v>
      </c>
    </row>
    <row r="9" spans="1:9" s="23" customFormat="1" ht="15.75">
      <c r="A9" s="22" t="s">
        <v>91</v>
      </c>
      <c r="B9" s="25" t="s">
        <v>96</v>
      </c>
      <c r="C9" s="27">
        <v>1500</v>
      </c>
      <c r="D9" s="203">
        <v>4400</v>
      </c>
      <c r="E9" s="204">
        <v>5.4</v>
      </c>
      <c r="F9" s="16">
        <f>C9/D9*E9</f>
        <v>1.8409090909090908</v>
      </c>
      <c r="G9" s="28">
        <v>1.75</v>
      </c>
      <c r="H9" s="16">
        <v>12</v>
      </c>
      <c r="I9" s="19">
        <f t="shared" si="1"/>
        <v>38.659090909090907</v>
      </c>
    </row>
    <row r="10" spans="1:9" s="23" customFormat="1" ht="15" customHeight="1">
      <c r="A10" s="22" t="s">
        <v>92</v>
      </c>
      <c r="B10" s="25" t="s">
        <v>97</v>
      </c>
      <c r="C10" s="27">
        <v>1500</v>
      </c>
      <c r="D10" s="203">
        <v>4400</v>
      </c>
      <c r="E10" s="204">
        <v>5.4</v>
      </c>
      <c r="F10" s="16">
        <f t="shared" si="0"/>
        <v>1.8409090909090908</v>
      </c>
      <c r="G10" s="28">
        <v>4.33</v>
      </c>
      <c r="H10" s="16">
        <v>12</v>
      </c>
      <c r="I10" s="19">
        <f t="shared" si="1"/>
        <v>95.653636363636366</v>
      </c>
    </row>
    <row r="11" spans="1:9" s="85" customFormat="1" ht="15.75">
      <c r="A11" s="21" t="s">
        <v>93</v>
      </c>
      <c r="B11" s="159" t="s">
        <v>95</v>
      </c>
      <c r="C11" s="160">
        <v>50</v>
      </c>
      <c r="D11" s="203">
        <v>4400</v>
      </c>
      <c r="E11" s="204">
        <v>5.4</v>
      </c>
      <c r="F11" s="143">
        <f t="shared" si="0"/>
        <v>6.136363636363637E-2</v>
      </c>
      <c r="G11" s="28">
        <v>24.95</v>
      </c>
      <c r="H11" s="143">
        <v>1</v>
      </c>
      <c r="I11" s="84">
        <f>F11*G11*H11</f>
        <v>1.5310227272727275</v>
      </c>
    </row>
    <row r="12" spans="1:9" s="85" customFormat="1" ht="15.75">
      <c r="A12" s="21" t="s">
        <v>93</v>
      </c>
      <c r="B12" s="159" t="s">
        <v>95</v>
      </c>
      <c r="C12" s="160">
        <v>50</v>
      </c>
      <c r="D12" s="203">
        <v>4400</v>
      </c>
      <c r="E12" s="204">
        <v>5.4</v>
      </c>
      <c r="F12" s="143">
        <f t="shared" si="0"/>
        <v>6.136363636363637E-2</v>
      </c>
      <c r="G12" s="28">
        <v>15</v>
      </c>
      <c r="H12" s="143">
        <v>1</v>
      </c>
      <c r="I12" s="84">
        <f t="shared" si="1"/>
        <v>0.92045454545454553</v>
      </c>
    </row>
    <row r="13" spans="1:9" s="85" customFormat="1" ht="15.75">
      <c r="A13" s="21" t="s">
        <v>94</v>
      </c>
      <c r="B13" s="159" t="s">
        <v>95</v>
      </c>
      <c r="C13" s="160">
        <v>50</v>
      </c>
      <c r="D13" s="203">
        <v>4400</v>
      </c>
      <c r="E13" s="204">
        <v>5.4</v>
      </c>
      <c r="F13" s="143">
        <f t="shared" si="0"/>
        <v>6.136363636363637E-2</v>
      </c>
      <c r="G13" s="28">
        <v>10</v>
      </c>
      <c r="H13" s="143">
        <v>1</v>
      </c>
      <c r="I13" s="84">
        <f t="shared" si="1"/>
        <v>0.61363636363636376</v>
      </c>
    </row>
    <row r="14" spans="1:9" s="85" customFormat="1" ht="15.75">
      <c r="A14" s="21" t="s">
        <v>269</v>
      </c>
      <c r="B14" s="159" t="s">
        <v>95</v>
      </c>
      <c r="C14" s="160">
        <v>12</v>
      </c>
      <c r="D14" s="203">
        <v>4400</v>
      </c>
      <c r="E14" s="204">
        <v>5.4</v>
      </c>
      <c r="F14" s="131">
        <f t="shared" si="0"/>
        <v>1.4727272727272729E-2</v>
      </c>
      <c r="G14" s="28">
        <v>1240.92</v>
      </c>
      <c r="H14" s="131">
        <v>12</v>
      </c>
      <c r="I14" s="84">
        <f t="shared" si="1"/>
        <v>219.3044072727273</v>
      </c>
    </row>
    <row r="15" spans="1:9" ht="28.5">
      <c r="A15" s="24" t="s">
        <v>115</v>
      </c>
      <c r="B15" s="26"/>
      <c r="C15" s="26"/>
      <c r="D15" s="26"/>
      <c r="E15" s="26"/>
      <c r="F15" s="26"/>
      <c r="G15" s="26"/>
      <c r="H15" s="26"/>
      <c r="I15" s="175">
        <f>SUM(I5:I14)</f>
        <v>521.59839545454554</v>
      </c>
    </row>
    <row r="17" spans="2:4">
      <c r="B17" s="63" t="s">
        <v>113</v>
      </c>
      <c r="D17" s="64">
        <v>186572.24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C7" sqref="C7"/>
    </sheetView>
  </sheetViews>
  <sheetFormatPr defaultRowHeight="15"/>
  <cols>
    <col min="1" max="1" width="32.85546875" style="7" customWidth="1"/>
    <col min="2" max="2" width="11.5703125" style="7" customWidth="1"/>
    <col min="3" max="3" width="9.140625" style="7"/>
    <col min="4" max="4" width="14" style="7" customWidth="1"/>
    <col min="5" max="5" width="14.42578125" style="7" customWidth="1"/>
    <col min="6" max="6" width="14.5703125" style="7" customWidth="1"/>
    <col min="7" max="7" width="11.42578125" style="7" customWidth="1"/>
    <col min="8" max="8" width="9.140625" style="7"/>
    <col min="9" max="9" width="13.42578125" style="7" customWidth="1"/>
    <col min="10" max="16384" width="9.140625" style="7"/>
  </cols>
  <sheetData>
    <row r="1" spans="1:9">
      <c r="A1" s="267" t="s">
        <v>48</v>
      </c>
      <c r="B1" s="267"/>
      <c r="C1" s="267"/>
      <c r="D1" s="267"/>
      <c r="E1" s="267"/>
      <c r="F1" s="267"/>
      <c r="G1" s="267"/>
      <c r="H1" s="267"/>
      <c r="I1" s="267"/>
    </row>
    <row r="3" spans="1:9" ht="70.5" customHeight="1">
      <c r="A3" s="145" t="s">
        <v>49</v>
      </c>
      <c r="B3" s="145" t="s">
        <v>25</v>
      </c>
      <c r="C3" s="145" t="s">
        <v>35</v>
      </c>
      <c r="D3" s="145" t="s">
        <v>36</v>
      </c>
      <c r="E3" s="145" t="s">
        <v>42</v>
      </c>
      <c r="F3" s="145" t="s">
        <v>46</v>
      </c>
      <c r="G3" s="145" t="s">
        <v>38</v>
      </c>
      <c r="H3" s="145" t="s">
        <v>50</v>
      </c>
      <c r="I3" s="145" t="s">
        <v>19</v>
      </c>
    </row>
    <row r="4" spans="1:9" ht="17.25" customHeight="1">
      <c r="A4" s="144">
        <v>1</v>
      </c>
      <c r="B4" s="144">
        <v>2</v>
      </c>
      <c r="C4" s="144">
        <v>3</v>
      </c>
      <c r="D4" s="144">
        <v>4</v>
      </c>
      <c r="E4" s="144">
        <v>5</v>
      </c>
      <c r="F4" s="144" t="s">
        <v>43</v>
      </c>
      <c r="G4" s="144">
        <v>7</v>
      </c>
      <c r="H4" s="144">
        <v>8</v>
      </c>
      <c r="I4" s="144" t="s">
        <v>60</v>
      </c>
    </row>
    <row r="5" spans="1:9" s="23" customFormat="1" ht="15.75">
      <c r="A5" s="22" t="s">
        <v>88</v>
      </c>
      <c r="B5" s="8" t="s">
        <v>95</v>
      </c>
      <c r="C5" s="144">
        <v>1</v>
      </c>
      <c r="D5" s="6">
        <v>4400</v>
      </c>
      <c r="E5" s="144">
        <v>5.4</v>
      </c>
      <c r="F5" s="144">
        <f t="shared" ref="F5" si="0">C5/D5*E5</f>
        <v>1.2272727272727275E-3</v>
      </c>
      <c r="G5" s="28">
        <v>682.13</v>
      </c>
      <c r="H5" s="144">
        <v>12</v>
      </c>
      <c r="I5" s="19">
        <f>F5*G5*H5</f>
        <v>10.045914545454547</v>
      </c>
    </row>
    <row r="6" spans="1:9" s="23" customFormat="1" ht="15.75">
      <c r="A6" s="22" t="s">
        <v>91</v>
      </c>
      <c r="B6" s="25" t="s">
        <v>96</v>
      </c>
      <c r="C6" s="27">
        <v>900</v>
      </c>
      <c r="D6" s="6">
        <v>4400</v>
      </c>
      <c r="E6" s="144">
        <v>5.4</v>
      </c>
      <c r="F6" s="144">
        <f>C6/D6*E6</f>
        <v>1.1045454545454547</v>
      </c>
      <c r="G6" s="28">
        <v>2</v>
      </c>
      <c r="H6" s="144">
        <v>12</v>
      </c>
      <c r="I6" s="19">
        <f>F6*G6*H6</f>
        <v>26.509090909090915</v>
      </c>
    </row>
    <row r="7" spans="1:9" s="23" customFormat="1" ht="15" customHeight="1">
      <c r="A7" s="22" t="s">
        <v>92</v>
      </c>
      <c r="B7" s="25" t="s">
        <v>97</v>
      </c>
      <c r="C7" s="27">
        <v>100</v>
      </c>
      <c r="D7" s="6">
        <v>4400</v>
      </c>
      <c r="E7" s="144">
        <v>5.4</v>
      </c>
      <c r="F7" s="144">
        <f>C7/D7*E7</f>
        <v>0.12272727272727274</v>
      </c>
      <c r="G7" s="28">
        <v>4.33</v>
      </c>
      <c r="H7" s="144">
        <v>12</v>
      </c>
      <c r="I7" s="19">
        <f>F7*G7*H7</f>
        <v>6.3769090909090913</v>
      </c>
    </row>
    <row r="8" spans="1:9" ht="28.5">
      <c r="A8" s="24" t="s">
        <v>115</v>
      </c>
      <c r="B8" s="26"/>
      <c r="C8" s="26"/>
      <c r="D8" s="26"/>
      <c r="E8" s="26"/>
      <c r="F8" s="26"/>
      <c r="G8" s="26"/>
      <c r="H8" s="26"/>
      <c r="I8" s="175">
        <f>SUM(I5:I7)</f>
        <v>42.931914545454561</v>
      </c>
    </row>
    <row r="10" spans="1:9">
      <c r="B10" s="63" t="s">
        <v>113</v>
      </c>
      <c r="D10" s="64">
        <f>'[1]КВР 200'!$F$76+'[1]КВР 200'!$F$80*900+'[1]КВР 200'!$F$81*100</f>
        <v>2599.13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I23" sqref="I23"/>
    </sheetView>
  </sheetViews>
  <sheetFormatPr defaultRowHeight="15"/>
  <cols>
    <col min="1" max="1" width="20.140625" style="7" customWidth="1"/>
    <col min="2" max="4" width="9.140625" style="7"/>
    <col min="5" max="5" width="13.28515625" style="7" customWidth="1"/>
    <col min="6" max="6" width="9.140625" style="7"/>
    <col min="7" max="7" width="14" style="7" customWidth="1"/>
    <col min="8" max="8" width="12.42578125" style="7" customWidth="1"/>
    <col min="9" max="9" width="14.7109375" style="7" customWidth="1"/>
    <col min="10" max="16384" width="9.140625" style="7"/>
  </cols>
  <sheetData>
    <row r="1" spans="1:9">
      <c r="A1" s="267" t="s">
        <v>51</v>
      </c>
      <c r="B1" s="267"/>
      <c r="C1" s="267"/>
      <c r="D1" s="267"/>
      <c r="E1" s="267"/>
      <c r="F1" s="267"/>
      <c r="G1" s="267"/>
      <c r="H1" s="267"/>
      <c r="I1" s="267"/>
    </row>
    <row r="3" spans="1:9" ht="111.75" customHeight="1">
      <c r="A3" s="5" t="s">
        <v>52</v>
      </c>
      <c r="B3" s="5" t="s">
        <v>25</v>
      </c>
      <c r="C3" s="5" t="s">
        <v>35</v>
      </c>
      <c r="D3" s="34" t="s">
        <v>113</v>
      </c>
      <c r="E3" s="5" t="s">
        <v>36</v>
      </c>
      <c r="F3" s="5" t="s">
        <v>87</v>
      </c>
      <c r="G3" s="5" t="s">
        <v>46</v>
      </c>
      <c r="H3" s="5" t="s">
        <v>38</v>
      </c>
      <c r="I3" s="5" t="s">
        <v>19</v>
      </c>
    </row>
    <row r="4" spans="1:9" ht="20.25" customHeight="1">
      <c r="A4" s="5">
        <v>1</v>
      </c>
      <c r="B4" s="5">
        <v>2</v>
      </c>
      <c r="C4" s="5">
        <v>3</v>
      </c>
      <c r="D4" s="34"/>
      <c r="E4" s="5">
        <v>4</v>
      </c>
      <c r="F4" s="5">
        <v>5</v>
      </c>
      <c r="G4" s="5" t="s">
        <v>43</v>
      </c>
      <c r="H4" s="5">
        <v>7</v>
      </c>
      <c r="I4" s="5" t="s">
        <v>44</v>
      </c>
    </row>
    <row r="5" spans="1:9" ht="30" customHeight="1">
      <c r="A5" s="10" t="s">
        <v>99</v>
      </c>
      <c r="B5" s="16" t="s">
        <v>47</v>
      </c>
      <c r="C5" s="5">
        <v>1</v>
      </c>
      <c r="D5" s="6">
        <f>'[1]КВР 200'!$G$94</f>
        <v>8823.0999999999985</v>
      </c>
      <c r="E5" s="6">
        <v>4200</v>
      </c>
      <c r="F5" s="20">
        <v>5.4</v>
      </c>
      <c r="G5" s="16">
        <f>C5/E5*F5</f>
        <v>1.2857142857142859E-3</v>
      </c>
      <c r="H5" s="6">
        <f>10* 882.31</f>
        <v>8823.0999999999985</v>
      </c>
      <c r="I5" s="6">
        <f>G5*H5</f>
        <v>11.343985714285713</v>
      </c>
    </row>
    <row r="6" spans="1:9" ht="30" customHeight="1">
      <c r="A6" s="10" t="s">
        <v>98</v>
      </c>
      <c r="B6" s="16" t="s">
        <v>47</v>
      </c>
      <c r="C6" s="16">
        <v>1</v>
      </c>
      <c r="D6" s="6">
        <f>'[1]КВР 200'!$G$95</f>
        <v>5093.8</v>
      </c>
      <c r="E6" s="6">
        <v>4200</v>
      </c>
      <c r="F6" s="20">
        <v>5.4</v>
      </c>
      <c r="G6" s="16">
        <f>C6/E6*F6</f>
        <v>1.2857142857142859E-3</v>
      </c>
      <c r="H6" s="6">
        <f>10*509.38</f>
        <v>5093.8</v>
      </c>
      <c r="I6" s="6">
        <f>G6*H6</f>
        <v>6.5491714285714293</v>
      </c>
    </row>
    <row r="7" spans="1:9">
      <c r="A7" s="268" t="s">
        <v>53</v>
      </c>
      <c r="B7" s="268"/>
      <c r="C7" s="268"/>
      <c r="D7" s="268"/>
      <c r="E7" s="268"/>
      <c r="F7" s="268"/>
      <c r="G7" s="268"/>
      <c r="H7" s="268"/>
      <c r="I7" s="176">
        <f>I5+I6</f>
        <v>17.893157142857142</v>
      </c>
    </row>
    <row r="9" spans="1:9">
      <c r="B9" s="7" t="s">
        <v>113</v>
      </c>
      <c r="D9" s="65">
        <f>D5+D6</f>
        <v>13916.899999999998</v>
      </c>
    </row>
    <row r="18" spans="9:9">
      <c r="I18" s="80"/>
    </row>
  </sheetData>
  <mergeCells count="2">
    <mergeCell ref="A7:H7"/>
    <mergeCell ref="A1:I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selection activeCell="I25" sqref="I25"/>
    </sheetView>
  </sheetViews>
  <sheetFormatPr defaultRowHeight="15"/>
  <cols>
    <col min="1" max="1" width="26.140625" style="7" customWidth="1"/>
    <col min="2" max="2" width="14.42578125" style="7" customWidth="1"/>
    <col min="3" max="4" width="12.5703125" style="7" customWidth="1"/>
    <col min="5" max="5" width="16.140625" style="7" customWidth="1"/>
    <col min="6" max="6" width="12" style="7" customWidth="1"/>
    <col min="7" max="7" width="17.42578125" style="7" customWidth="1"/>
    <col min="8" max="8" width="22" style="7" customWidth="1"/>
    <col min="9" max="9" width="16.85546875" style="7" customWidth="1"/>
    <col min="10" max="16384" width="9.140625" style="7"/>
  </cols>
  <sheetData>
    <row r="1" spans="1:11">
      <c r="A1" s="269" t="s">
        <v>54</v>
      </c>
      <c r="B1" s="269"/>
      <c r="C1" s="269"/>
      <c r="D1" s="269"/>
      <c r="E1" s="269"/>
      <c r="F1" s="269"/>
      <c r="G1" s="269"/>
      <c r="H1" s="269"/>
      <c r="I1" s="269"/>
    </row>
    <row r="2" spans="1:11">
      <c r="A2" s="270"/>
      <c r="B2" s="270"/>
      <c r="C2" s="270"/>
      <c r="D2" s="270"/>
      <c r="E2" s="270"/>
      <c r="F2" s="270"/>
      <c r="G2" s="270"/>
      <c r="H2" s="270"/>
      <c r="I2" s="270"/>
    </row>
    <row r="3" spans="1:11" ht="73.5" customHeight="1">
      <c r="A3" s="198" t="s">
        <v>15</v>
      </c>
      <c r="B3" s="198" t="s">
        <v>16</v>
      </c>
      <c r="C3" s="198" t="s">
        <v>17</v>
      </c>
      <c r="D3" s="198" t="s">
        <v>124</v>
      </c>
      <c r="E3" s="198" t="s">
        <v>36</v>
      </c>
      <c r="F3" s="198" t="s">
        <v>42</v>
      </c>
      <c r="G3" s="198" t="s">
        <v>46</v>
      </c>
      <c r="H3" s="198" t="s">
        <v>55</v>
      </c>
      <c r="I3" s="198" t="s">
        <v>19</v>
      </c>
      <c r="J3" s="85"/>
      <c r="K3" s="85"/>
    </row>
    <row r="4" spans="1:11" ht="12.75" customHeight="1">
      <c r="A4" s="177">
        <v>1</v>
      </c>
      <c r="B4" s="177">
        <v>2</v>
      </c>
      <c r="C4" s="177">
        <v>3</v>
      </c>
      <c r="D4" s="177"/>
      <c r="E4" s="177">
        <v>4</v>
      </c>
      <c r="F4" s="177">
        <v>5</v>
      </c>
      <c r="G4" s="177" t="s">
        <v>156</v>
      </c>
      <c r="H4" s="177" t="s">
        <v>266</v>
      </c>
      <c r="I4" s="177" t="s">
        <v>157</v>
      </c>
      <c r="J4" s="85"/>
      <c r="K4" s="85"/>
    </row>
    <row r="5" spans="1:11">
      <c r="A5" s="199" t="s">
        <v>69</v>
      </c>
      <c r="B5" s="200">
        <f>'[1]Тариф. с учетом повышения'!$Y$33</f>
        <v>22520.519999999997</v>
      </c>
      <c r="C5" s="98">
        <v>2</v>
      </c>
      <c r="D5" s="99">
        <f t="shared" ref="D5:D10" si="0">B5*C5</f>
        <v>45041.039999999994</v>
      </c>
      <c r="E5" s="83">
        <v>4200</v>
      </c>
      <c r="F5" s="177">
        <v>5.4</v>
      </c>
      <c r="G5" s="177">
        <f t="shared" ref="G5:G10" si="1">C5/E5*F5</f>
        <v>2.5714285714285717E-3</v>
      </c>
      <c r="H5" s="83">
        <f t="shared" ref="H5:H10" si="2">B5*C5*12*1.302</f>
        <v>703721.20895999996</v>
      </c>
      <c r="I5" s="84">
        <f t="shared" ref="I5:I10" si="3">G5*H5</f>
        <v>1809.5688230400001</v>
      </c>
      <c r="J5" s="85"/>
      <c r="K5" s="85"/>
    </row>
    <row r="6" spans="1:11">
      <c r="A6" s="199" t="s">
        <v>70</v>
      </c>
      <c r="B6" s="200">
        <f>'[1]Тариф. с учетом повышения'!$Y$10</f>
        <v>56835</v>
      </c>
      <c r="C6" s="98">
        <v>0.5</v>
      </c>
      <c r="D6" s="99">
        <f t="shared" si="0"/>
        <v>28417.5</v>
      </c>
      <c r="E6" s="83">
        <v>4200</v>
      </c>
      <c r="F6" s="177">
        <v>5.4</v>
      </c>
      <c r="G6" s="177">
        <f t="shared" si="1"/>
        <v>6.4285714285714293E-4</v>
      </c>
      <c r="H6" s="83">
        <f t="shared" si="2"/>
        <v>443995.02</v>
      </c>
      <c r="I6" s="84">
        <f t="shared" si="3"/>
        <v>285.42537000000004</v>
      </c>
      <c r="J6" s="85"/>
      <c r="K6" s="85"/>
    </row>
    <row r="7" spans="1:11">
      <c r="A7" s="199" t="s">
        <v>71</v>
      </c>
      <c r="B7" s="200">
        <f>'[1]Тариф. с учетом повышения'!$Y$11</f>
        <v>74567.520000000004</v>
      </c>
      <c r="C7" s="98">
        <v>0.5</v>
      </c>
      <c r="D7" s="99">
        <f t="shared" si="0"/>
        <v>37283.760000000002</v>
      </c>
      <c r="E7" s="83">
        <v>4200</v>
      </c>
      <c r="F7" s="177">
        <v>5.4</v>
      </c>
      <c r="G7" s="177">
        <f t="shared" si="1"/>
        <v>6.4285714285714293E-4</v>
      </c>
      <c r="H7" s="83">
        <f t="shared" si="2"/>
        <v>582521.46623999998</v>
      </c>
      <c r="I7" s="84">
        <f t="shared" si="3"/>
        <v>374.47808544000003</v>
      </c>
      <c r="J7" s="85"/>
      <c r="K7" s="85"/>
    </row>
    <row r="8" spans="1:11">
      <c r="A8" s="199" t="s">
        <v>72</v>
      </c>
      <c r="B8" s="200">
        <f>'[1]Тариф. с учетом повышения'!$Y$19</f>
        <v>46823.399999999994</v>
      </c>
      <c r="C8" s="98">
        <v>0.5</v>
      </c>
      <c r="D8" s="99">
        <f t="shared" si="0"/>
        <v>23411.699999999997</v>
      </c>
      <c r="E8" s="83">
        <v>4200</v>
      </c>
      <c r="F8" s="177">
        <v>5.4</v>
      </c>
      <c r="G8" s="177">
        <f t="shared" si="1"/>
        <v>6.4285714285714293E-4</v>
      </c>
      <c r="H8" s="83">
        <f t="shared" si="2"/>
        <v>365784.40079999994</v>
      </c>
      <c r="I8" s="84">
        <f t="shared" si="3"/>
        <v>235.1471148</v>
      </c>
      <c r="J8" s="85"/>
      <c r="K8" s="85"/>
    </row>
    <row r="9" spans="1:11" ht="30">
      <c r="A9" s="199" t="s">
        <v>73</v>
      </c>
      <c r="B9" s="200">
        <f>'[1]Тариф. с учетом повышения'!$Y$12</f>
        <v>60658.474999999999</v>
      </c>
      <c r="C9" s="98">
        <v>0.5</v>
      </c>
      <c r="D9" s="99">
        <f t="shared" si="0"/>
        <v>30329.237499999999</v>
      </c>
      <c r="E9" s="83">
        <v>4200</v>
      </c>
      <c r="F9" s="177">
        <v>5.4</v>
      </c>
      <c r="G9" s="177">
        <f t="shared" si="1"/>
        <v>6.4285714285714293E-4</v>
      </c>
      <c r="H9" s="83">
        <f t="shared" si="2"/>
        <v>473864.00669999997</v>
      </c>
      <c r="I9" s="84">
        <f t="shared" si="3"/>
        <v>304.62686145000004</v>
      </c>
      <c r="J9" s="85"/>
      <c r="K9" s="85"/>
    </row>
    <row r="10" spans="1:11">
      <c r="A10" s="201" t="s">
        <v>74</v>
      </c>
      <c r="B10" s="200">
        <f>'[1]Тариф. с учетом повышения'!$Y$17</f>
        <v>63689.760000000002</v>
      </c>
      <c r="C10" s="202">
        <v>0.5</v>
      </c>
      <c r="D10" s="99">
        <f t="shared" si="0"/>
        <v>31844.880000000001</v>
      </c>
      <c r="E10" s="83">
        <v>4200</v>
      </c>
      <c r="F10" s="177">
        <v>5.4</v>
      </c>
      <c r="G10" s="177">
        <f t="shared" si="1"/>
        <v>6.4285714285714293E-4</v>
      </c>
      <c r="H10" s="83">
        <f t="shared" si="2"/>
        <v>497544.40512000001</v>
      </c>
      <c r="I10" s="84">
        <f t="shared" si="3"/>
        <v>319.84997472000003</v>
      </c>
      <c r="J10" s="85"/>
      <c r="K10" s="85"/>
    </row>
    <row r="11" spans="1:11">
      <c r="A11" s="201"/>
      <c r="B11" s="200"/>
      <c r="C11" s="202">
        <f>SUM(C5:C10)</f>
        <v>4.5</v>
      </c>
      <c r="D11" s="99">
        <f>SUM(D5:D10)</f>
        <v>196328.11749999999</v>
      </c>
      <c r="E11" s="83"/>
      <c r="F11" s="177"/>
      <c r="G11" s="177"/>
      <c r="H11" s="83"/>
      <c r="I11" s="84"/>
      <c r="J11" s="85"/>
      <c r="K11" s="85"/>
    </row>
    <row r="12" spans="1:11" ht="37.5" customHeight="1">
      <c r="A12" s="265" t="s">
        <v>56</v>
      </c>
      <c r="B12" s="265"/>
      <c r="C12" s="265"/>
      <c r="D12" s="265"/>
      <c r="E12" s="265"/>
      <c r="F12" s="265"/>
      <c r="G12" s="265"/>
      <c r="H12" s="265"/>
      <c r="I12" s="176">
        <f>SUM(I5:I10)</f>
        <v>3329.09622945</v>
      </c>
      <c r="J12" s="85"/>
      <c r="K12" s="85"/>
    </row>
    <row r="13" spans="1:11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</row>
    <row r="14" spans="1:11">
      <c r="A14" s="85"/>
      <c r="B14" s="91"/>
      <c r="C14" s="85"/>
      <c r="D14" s="85"/>
      <c r="E14" s="85"/>
      <c r="F14" s="85"/>
      <c r="G14" s="85"/>
      <c r="H14" s="85"/>
      <c r="I14" s="85"/>
      <c r="J14" s="85"/>
      <c r="K14" s="85"/>
    </row>
    <row r="15" spans="1:11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</row>
    <row r="16" spans="1:11">
      <c r="A16" s="85"/>
      <c r="B16" s="85">
        <v>211</v>
      </c>
      <c r="C16" s="91">
        <f>(D11*12*1.25)+232039.28</f>
        <v>3176961.0425</v>
      </c>
      <c r="D16" s="91"/>
      <c r="E16" s="85"/>
      <c r="F16" s="85"/>
      <c r="G16" s="91">
        <f>(D7+D8+D9+D10+D6+D5)*12</f>
        <v>2355937.41</v>
      </c>
      <c r="H16" s="85"/>
      <c r="I16" s="85"/>
      <c r="J16" s="85"/>
      <c r="K16" s="85"/>
    </row>
    <row r="17" spans="1:11">
      <c r="A17" s="85"/>
      <c r="B17" s="85">
        <v>213</v>
      </c>
      <c r="C17" s="91">
        <f>C16*30.2%</f>
        <v>959442.23483500001</v>
      </c>
      <c r="D17" s="91"/>
      <c r="E17" s="85"/>
      <c r="F17" s="85"/>
      <c r="G17" s="91"/>
      <c r="H17" s="85"/>
      <c r="I17" s="85"/>
      <c r="J17" s="85"/>
      <c r="K17" s="85"/>
    </row>
    <row r="18" spans="1:11">
      <c r="A18" s="85"/>
      <c r="B18" s="85"/>
      <c r="C18" s="91">
        <f>C16+C17</f>
        <v>4136403.2773350002</v>
      </c>
      <c r="D18" s="91"/>
      <c r="E18" s="91"/>
      <c r="F18" s="85"/>
      <c r="G18" s="91"/>
      <c r="H18" s="85"/>
      <c r="I18" s="85"/>
      <c r="J18" s="85"/>
      <c r="K18" s="85"/>
    </row>
  </sheetData>
  <mergeCells count="2">
    <mergeCell ref="A12:H12"/>
    <mergeCell ref="A1:I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J34" sqref="J34"/>
    </sheetView>
  </sheetViews>
  <sheetFormatPr defaultRowHeight="15"/>
  <cols>
    <col min="1" max="1" width="26.140625" style="7" customWidth="1"/>
    <col min="2" max="2" width="14.42578125" style="7" customWidth="1"/>
    <col min="3" max="4" width="12.5703125" style="7" customWidth="1"/>
    <col min="5" max="5" width="16.140625" style="7" customWidth="1"/>
    <col min="6" max="6" width="12" style="7" customWidth="1"/>
    <col min="7" max="7" width="17.42578125" style="7" customWidth="1"/>
    <col min="8" max="8" width="22" style="7" customWidth="1"/>
    <col min="9" max="9" width="16.85546875" style="7" customWidth="1"/>
    <col min="10" max="16384" width="9.140625" style="7"/>
  </cols>
  <sheetData>
    <row r="1" spans="1:13">
      <c r="A1" t="s">
        <v>118</v>
      </c>
    </row>
    <row r="2" spans="1:13">
      <c r="A2" s="269" t="s">
        <v>54</v>
      </c>
      <c r="B2" s="269"/>
      <c r="C2" s="269"/>
      <c r="D2" s="269"/>
      <c r="E2" s="269"/>
      <c r="F2" s="269"/>
      <c r="G2" s="269"/>
      <c r="H2" s="269"/>
      <c r="I2" s="269"/>
    </row>
    <row r="3" spans="1:13">
      <c r="A3" s="270"/>
      <c r="B3" s="270"/>
      <c r="C3" s="270"/>
      <c r="D3" s="270"/>
      <c r="E3" s="270"/>
      <c r="F3" s="270"/>
      <c r="G3" s="270"/>
      <c r="H3" s="270"/>
      <c r="I3" s="270"/>
    </row>
    <row r="4" spans="1:13" ht="73.5" customHeight="1">
      <c r="A4" s="198" t="s">
        <v>15</v>
      </c>
      <c r="B4" s="198" t="s">
        <v>16</v>
      </c>
      <c r="C4" s="198" t="s">
        <v>17</v>
      </c>
      <c r="D4" s="198" t="s">
        <v>124</v>
      </c>
      <c r="E4" s="198" t="s">
        <v>36</v>
      </c>
      <c r="F4" s="198" t="s">
        <v>42</v>
      </c>
      <c r="G4" s="198" t="s">
        <v>46</v>
      </c>
      <c r="H4" s="198" t="s">
        <v>55</v>
      </c>
      <c r="I4" s="198" t="s">
        <v>19</v>
      </c>
      <c r="J4" s="85"/>
      <c r="K4" s="85"/>
      <c r="L4" s="85"/>
      <c r="M4" s="85"/>
    </row>
    <row r="5" spans="1:13" ht="12.75" customHeight="1">
      <c r="A5" s="177">
        <v>1</v>
      </c>
      <c r="B5" s="177">
        <v>2</v>
      </c>
      <c r="C5" s="177">
        <v>3</v>
      </c>
      <c r="D5" s="177"/>
      <c r="E5" s="177">
        <v>4</v>
      </c>
      <c r="F5" s="177">
        <v>5</v>
      </c>
      <c r="G5" s="177" t="s">
        <v>156</v>
      </c>
      <c r="H5" s="177" t="s">
        <v>266</v>
      </c>
      <c r="I5" s="177" t="s">
        <v>157</v>
      </c>
      <c r="J5" s="85"/>
      <c r="K5" s="85"/>
      <c r="L5" s="85"/>
      <c r="M5" s="85"/>
    </row>
    <row r="6" spans="1:13">
      <c r="A6" s="199" t="s">
        <v>70</v>
      </c>
      <c r="B6" s="200">
        <f>'[1]Тариф. с учетом повышения'!$Y$10</f>
        <v>56835</v>
      </c>
      <c r="C6" s="98">
        <v>0.5</v>
      </c>
      <c r="D6" s="99">
        <f>B6*C6</f>
        <v>28417.5</v>
      </c>
      <c r="E6" s="83">
        <v>4200</v>
      </c>
      <c r="F6" s="177">
        <v>5.4</v>
      </c>
      <c r="G6" s="177">
        <f>C6/E6*F6</f>
        <v>6.4285714285714293E-4</v>
      </c>
      <c r="H6" s="83">
        <f t="shared" ref="H6:H8" si="0">B6*C6*12*1.302</f>
        <v>443995.02</v>
      </c>
      <c r="I6" s="84">
        <f t="shared" ref="I6:I8" si="1">G6*H6</f>
        <v>285.42537000000004</v>
      </c>
      <c r="J6" s="85"/>
      <c r="K6" s="85"/>
      <c r="L6" s="85"/>
      <c r="M6" s="85"/>
    </row>
    <row r="7" spans="1:13">
      <c r="A7" s="199" t="s">
        <v>71</v>
      </c>
      <c r="B7" s="200">
        <f>'[1]Тариф. с учетом повышения'!$Y$11</f>
        <v>74567.520000000004</v>
      </c>
      <c r="C7" s="98">
        <v>0.5</v>
      </c>
      <c r="D7" s="99">
        <f t="shared" ref="D7:D8" si="2">B7*C7</f>
        <v>37283.760000000002</v>
      </c>
      <c r="E7" s="83">
        <v>4200</v>
      </c>
      <c r="F7" s="177">
        <v>5.4</v>
      </c>
      <c r="G7" s="177">
        <f>C7/E7*F7</f>
        <v>6.4285714285714293E-4</v>
      </c>
      <c r="H7" s="83">
        <f t="shared" si="0"/>
        <v>582521.46623999998</v>
      </c>
      <c r="I7" s="84">
        <f t="shared" si="1"/>
        <v>374.47808544000003</v>
      </c>
      <c r="J7" s="85"/>
      <c r="K7" s="85"/>
      <c r="L7" s="85"/>
      <c r="M7" s="85"/>
    </row>
    <row r="8" spans="1:13">
      <c r="A8" s="199" t="s">
        <v>72</v>
      </c>
      <c r="B8" s="200">
        <f>'[1]Тариф. с учетом повышения'!$Y$19</f>
        <v>46823.399999999994</v>
      </c>
      <c r="C8" s="98">
        <v>0.5</v>
      </c>
      <c r="D8" s="99">
        <f t="shared" si="2"/>
        <v>23411.699999999997</v>
      </c>
      <c r="E8" s="83">
        <v>4200</v>
      </c>
      <c r="F8" s="177">
        <v>5.4</v>
      </c>
      <c r="G8" s="177">
        <f>C8/E8*F8</f>
        <v>6.4285714285714293E-4</v>
      </c>
      <c r="H8" s="83">
        <f t="shared" si="0"/>
        <v>365784.40079999994</v>
      </c>
      <c r="I8" s="84">
        <f t="shared" si="1"/>
        <v>235.1471148</v>
      </c>
      <c r="J8" s="85"/>
      <c r="K8" s="85"/>
      <c r="L8" s="85"/>
      <c r="M8" s="85"/>
    </row>
    <row r="9" spans="1:13">
      <c r="A9" s="201"/>
      <c r="B9" s="200">
        <f>SUM(B6:B8)</f>
        <v>178225.92000000001</v>
      </c>
      <c r="C9" s="200">
        <f>SUM(C6:C8)</f>
        <v>1.5</v>
      </c>
      <c r="D9" s="200">
        <f>SUM(D6:D8)</f>
        <v>89112.960000000006</v>
      </c>
      <c r="E9" s="83"/>
      <c r="F9" s="177"/>
      <c r="G9" s="177"/>
      <c r="H9" s="83"/>
      <c r="I9" s="84"/>
      <c r="J9" s="85"/>
      <c r="K9" s="85"/>
      <c r="L9" s="85"/>
      <c r="M9" s="85"/>
    </row>
    <row r="10" spans="1:13" ht="37.5" customHeight="1">
      <c r="A10" s="265" t="s">
        <v>56</v>
      </c>
      <c r="B10" s="265"/>
      <c r="C10" s="265"/>
      <c r="D10" s="265"/>
      <c r="E10" s="265"/>
      <c r="F10" s="265"/>
      <c r="G10" s="265"/>
      <c r="H10" s="265"/>
      <c r="I10" s="176">
        <f>SUM(I6:I8)</f>
        <v>895.05057024000007</v>
      </c>
      <c r="J10" s="85"/>
      <c r="K10" s="85"/>
      <c r="L10" s="85"/>
      <c r="M10" s="85"/>
    </row>
    <row r="11" spans="1:13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</row>
    <row r="12" spans="1:13">
      <c r="A12" s="85"/>
      <c r="B12" s="91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</row>
    <row r="13" spans="1:13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</row>
    <row r="14" spans="1:13">
      <c r="B14" s="7">
        <v>211</v>
      </c>
      <c r="C14" s="65">
        <f>(D9*12*1.25)+232039.27</f>
        <v>1568733.67</v>
      </c>
      <c r="D14" s="65"/>
    </row>
    <row r="15" spans="1:13">
      <c r="B15" s="7">
        <v>213</v>
      </c>
      <c r="C15" s="65">
        <f>C14*30.2%</f>
        <v>473757.56833999994</v>
      </c>
      <c r="D15" s="65"/>
    </row>
    <row r="16" spans="1:13">
      <c r="C16" s="65">
        <f>SUM(C14:C15)</f>
        <v>2042491.2383399999</v>
      </c>
      <c r="D16" s="65"/>
    </row>
  </sheetData>
  <mergeCells count="2">
    <mergeCell ref="A2:I3"/>
    <mergeCell ref="A10:H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I19" sqref="I19"/>
    </sheetView>
  </sheetViews>
  <sheetFormatPr defaultRowHeight="15"/>
  <cols>
    <col min="1" max="1" width="46.42578125" style="7" customWidth="1"/>
    <col min="2" max="2" width="8.85546875" style="7" customWidth="1"/>
    <col min="3" max="4" width="12.28515625" style="7" customWidth="1"/>
    <col min="5" max="5" width="14" style="7" customWidth="1"/>
    <col min="6" max="6" width="13.5703125" style="7" customWidth="1"/>
    <col min="7" max="7" width="13" style="7" customWidth="1"/>
    <col min="8" max="8" width="10" style="7" bestFit="1" customWidth="1"/>
    <col min="9" max="9" width="15" style="7" customWidth="1"/>
    <col min="10" max="16384" width="9.140625" style="7"/>
  </cols>
  <sheetData>
    <row r="1" spans="1:9">
      <c r="A1" s="267" t="s">
        <v>57</v>
      </c>
      <c r="B1" s="267"/>
      <c r="C1" s="267"/>
      <c r="D1" s="267"/>
      <c r="E1" s="267"/>
      <c r="F1" s="267"/>
      <c r="G1" s="267"/>
      <c r="H1" s="267"/>
      <c r="I1" s="267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 ht="111.75" customHeight="1">
      <c r="A3" s="9" t="s">
        <v>58</v>
      </c>
      <c r="B3" s="9" t="s">
        <v>25</v>
      </c>
      <c r="C3" s="9" t="s">
        <v>35</v>
      </c>
      <c r="D3" s="9" t="s">
        <v>113</v>
      </c>
      <c r="E3" s="9" t="s">
        <v>36</v>
      </c>
      <c r="F3" s="9" t="s">
        <v>42</v>
      </c>
      <c r="G3" s="9" t="s">
        <v>46</v>
      </c>
      <c r="H3" s="9" t="s">
        <v>38</v>
      </c>
      <c r="I3" s="9" t="s">
        <v>19</v>
      </c>
    </row>
    <row r="4" spans="1:9" ht="18.75" customHeight="1">
      <c r="A4" s="5">
        <v>1</v>
      </c>
      <c r="B4" s="5">
        <v>2</v>
      </c>
      <c r="C4" s="5">
        <v>3</v>
      </c>
      <c r="D4" s="34"/>
      <c r="E4" s="5">
        <v>4</v>
      </c>
      <c r="F4" s="5">
        <v>5</v>
      </c>
      <c r="G4" s="5" t="s">
        <v>43</v>
      </c>
      <c r="H4" s="5">
        <v>7</v>
      </c>
      <c r="I4" s="5" t="s">
        <v>44</v>
      </c>
    </row>
    <row r="5" spans="1:9">
      <c r="A5" s="32" t="s">
        <v>100</v>
      </c>
      <c r="B5" s="6" t="s">
        <v>101</v>
      </c>
      <c r="C5" s="6">
        <v>3532.5</v>
      </c>
      <c r="D5" s="6">
        <f>'[1]КВР 200'!$G$175+'[1]КВР 200'!$G$177+'[1]КВР 200'!$G$410</f>
        <v>243089.4</v>
      </c>
      <c r="E5" s="6">
        <v>4200</v>
      </c>
      <c r="F5" s="6">
        <v>5.4</v>
      </c>
      <c r="G5" s="6">
        <f>C5/E5*5</f>
        <v>4.2053571428571432</v>
      </c>
      <c r="H5" s="6">
        <v>559.69000000000005</v>
      </c>
      <c r="I5" s="6">
        <f>G5*H5</f>
        <v>2353.6963392857147</v>
      </c>
    </row>
    <row r="6" spans="1:9">
      <c r="A6" s="271" t="s">
        <v>59</v>
      </c>
      <c r="B6" s="271"/>
      <c r="C6" s="271"/>
      <c r="D6" s="271"/>
      <c r="E6" s="271"/>
      <c r="F6" s="271"/>
      <c r="G6" s="271"/>
      <c r="H6" s="271"/>
      <c r="I6" s="176">
        <f>I5</f>
        <v>2353.6963392857147</v>
      </c>
    </row>
    <row r="7" spans="1:9" ht="15.75">
      <c r="B7" s="30"/>
      <c r="C7" s="31"/>
      <c r="D7" s="31"/>
    </row>
    <row r="8" spans="1:9">
      <c r="D8" s="7">
        <v>243089.4</v>
      </c>
    </row>
  </sheetData>
  <mergeCells count="2">
    <mergeCell ref="A6:H6"/>
    <mergeCell ref="A1:I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F6" sqref="F6"/>
    </sheetView>
  </sheetViews>
  <sheetFormatPr defaultRowHeight="15"/>
  <cols>
    <col min="1" max="1" width="46.42578125" style="7" customWidth="1"/>
    <col min="2" max="2" width="8.85546875" style="7" customWidth="1"/>
    <col min="3" max="4" width="12.28515625" style="7" customWidth="1"/>
    <col min="5" max="5" width="14" style="7" customWidth="1"/>
    <col min="6" max="6" width="13.5703125" style="7" customWidth="1"/>
    <col min="7" max="7" width="13" style="7" customWidth="1"/>
    <col min="8" max="8" width="10" style="7" bestFit="1" customWidth="1"/>
    <col min="9" max="9" width="15" style="7" customWidth="1"/>
    <col min="10" max="16384" width="9.140625" style="7"/>
  </cols>
  <sheetData>
    <row r="1" spans="1:9">
      <c r="A1" t="s">
        <v>118</v>
      </c>
    </row>
    <row r="2" spans="1:9">
      <c r="A2" s="267" t="s">
        <v>57</v>
      </c>
      <c r="B2" s="267"/>
      <c r="C2" s="267"/>
      <c r="D2" s="267"/>
      <c r="E2" s="267"/>
      <c r="F2" s="267"/>
      <c r="G2" s="267"/>
      <c r="H2" s="267"/>
      <c r="I2" s="267"/>
    </row>
    <row r="3" spans="1:9">
      <c r="A3" s="11"/>
      <c r="B3" s="11"/>
      <c r="C3" s="11"/>
      <c r="D3" s="11"/>
      <c r="E3" s="11"/>
      <c r="F3" s="11"/>
      <c r="G3" s="11"/>
      <c r="H3" s="11"/>
      <c r="I3" s="11"/>
    </row>
    <row r="4" spans="1:9" ht="111.75" customHeight="1">
      <c r="A4" s="9" t="s">
        <v>58</v>
      </c>
      <c r="B4" s="9" t="s">
        <v>25</v>
      </c>
      <c r="C4" s="9" t="s">
        <v>35</v>
      </c>
      <c r="D4" s="9" t="s">
        <v>113</v>
      </c>
      <c r="E4" s="9" t="s">
        <v>36</v>
      </c>
      <c r="F4" s="9" t="s">
        <v>42</v>
      </c>
      <c r="G4" s="9" t="s">
        <v>46</v>
      </c>
      <c r="H4" s="9" t="s">
        <v>38</v>
      </c>
      <c r="I4" s="9" t="s">
        <v>19</v>
      </c>
    </row>
    <row r="5" spans="1:9" ht="18.75" customHeight="1">
      <c r="A5" s="36">
        <v>1</v>
      </c>
      <c r="B5" s="36">
        <v>2</v>
      </c>
      <c r="C5" s="36">
        <v>3</v>
      </c>
      <c r="D5" s="36"/>
      <c r="E5" s="36">
        <v>4</v>
      </c>
      <c r="F5" s="36">
        <v>5</v>
      </c>
      <c r="G5" s="36" t="s">
        <v>43</v>
      </c>
      <c r="H5" s="36">
        <v>7</v>
      </c>
      <c r="I5" s="36" t="s">
        <v>44</v>
      </c>
    </row>
    <row r="6" spans="1:9">
      <c r="A6" s="32" t="s">
        <v>100</v>
      </c>
      <c r="B6" s="70">
        <v>340</v>
      </c>
      <c r="C6" s="6">
        <v>3532.5</v>
      </c>
      <c r="D6" s="6">
        <f>'[1]КВР 200'!$G$270+'[1]КВР 200'!$G$280+'[1]КВР 200'!$G$250</f>
        <v>36990</v>
      </c>
      <c r="E6" s="6">
        <v>4200</v>
      </c>
      <c r="F6" s="6">
        <v>5.4</v>
      </c>
      <c r="G6" s="6">
        <f>C6/E6*5</f>
        <v>4.2053571428571432</v>
      </c>
      <c r="H6" s="6">
        <v>559.69000000000005</v>
      </c>
      <c r="I6" s="6">
        <f>G6*H6</f>
        <v>2353.6963392857147</v>
      </c>
    </row>
    <row r="7" spans="1:9">
      <c r="A7" s="272" t="s">
        <v>59</v>
      </c>
      <c r="B7" s="273"/>
      <c r="C7" s="273"/>
      <c r="D7" s="273"/>
      <c r="E7" s="273"/>
      <c r="F7" s="273"/>
      <c r="G7" s="273"/>
      <c r="H7" s="274"/>
      <c r="I7" s="176">
        <f>I6</f>
        <v>2353.6963392857147</v>
      </c>
    </row>
    <row r="8" spans="1:9" ht="15.75">
      <c r="B8" s="30"/>
      <c r="C8" s="31"/>
      <c r="D8" s="71">
        <f>SUM(D6:D6)</f>
        <v>36990</v>
      </c>
    </row>
  </sheetData>
  <mergeCells count="2">
    <mergeCell ref="A2:I2"/>
    <mergeCell ref="A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view="pageBreakPreview" topLeftCell="A4" zoomScaleNormal="100" zoomScaleSheetLayoutView="100" workbookViewId="0">
      <selection activeCell="L11" sqref="L11"/>
    </sheetView>
  </sheetViews>
  <sheetFormatPr defaultRowHeight="15"/>
  <cols>
    <col min="1" max="1" width="8" customWidth="1"/>
    <col min="4" max="4" width="5.42578125" customWidth="1"/>
    <col min="5" max="5" width="10.7109375" customWidth="1"/>
    <col min="6" max="6" width="32.5703125" customWidth="1"/>
    <col min="7" max="7" width="13.42578125" customWidth="1"/>
    <col min="8" max="8" width="16.140625" customWidth="1"/>
    <col min="10" max="10" width="9.140625" style="62"/>
    <col min="256" max="256" width="0.42578125" customWidth="1"/>
    <col min="257" max="257" width="9.28515625" bestFit="1" customWidth="1"/>
    <col min="260" max="260" width="5.42578125" customWidth="1"/>
    <col min="261" max="261" width="10.7109375" customWidth="1"/>
    <col min="262" max="262" width="15.140625" bestFit="1" customWidth="1"/>
    <col min="263" max="264" width="16.140625" customWidth="1"/>
    <col min="512" max="512" width="0.42578125" customWidth="1"/>
    <col min="513" max="513" width="9.28515625" bestFit="1" customWidth="1"/>
    <col min="516" max="516" width="5.42578125" customWidth="1"/>
    <col min="517" max="517" width="10.7109375" customWidth="1"/>
    <col min="518" max="518" width="15.140625" bestFit="1" customWidth="1"/>
    <col min="519" max="520" width="16.140625" customWidth="1"/>
    <col min="768" max="768" width="0.42578125" customWidth="1"/>
    <col min="769" max="769" width="9.28515625" bestFit="1" customWidth="1"/>
    <col min="772" max="772" width="5.42578125" customWidth="1"/>
    <col min="773" max="773" width="10.7109375" customWidth="1"/>
    <col min="774" max="774" width="15.140625" bestFit="1" customWidth="1"/>
    <col min="775" max="776" width="16.140625" customWidth="1"/>
    <col min="1024" max="1024" width="0.42578125" customWidth="1"/>
    <col min="1025" max="1025" width="9.28515625" bestFit="1" customWidth="1"/>
    <col min="1028" max="1028" width="5.42578125" customWidth="1"/>
    <col min="1029" max="1029" width="10.7109375" customWidth="1"/>
    <col min="1030" max="1030" width="15.140625" bestFit="1" customWidth="1"/>
    <col min="1031" max="1032" width="16.140625" customWidth="1"/>
    <col min="1280" max="1280" width="0.42578125" customWidth="1"/>
    <col min="1281" max="1281" width="9.28515625" bestFit="1" customWidth="1"/>
    <col min="1284" max="1284" width="5.42578125" customWidth="1"/>
    <col min="1285" max="1285" width="10.7109375" customWidth="1"/>
    <col min="1286" max="1286" width="15.140625" bestFit="1" customWidth="1"/>
    <col min="1287" max="1288" width="16.140625" customWidth="1"/>
    <col min="1536" max="1536" width="0.42578125" customWidth="1"/>
    <col min="1537" max="1537" width="9.28515625" bestFit="1" customWidth="1"/>
    <col min="1540" max="1540" width="5.42578125" customWidth="1"/>
    <col min="1541" max="1541" width="10.7109375" customWidth="1"/>
    <col min="1542" max="1542" width="15.140625" bestFit="1" customWidth="1"/>
    <col min="1543" max="1544" width="16.140625" customWidth="1"/>
    <col min="1792" max="1792" width="0.42578125" customWidth="1"/>
    <col min="1793" max="1793" width="9.28515625" bestFit="1" customWidth="1"/>
    <col min="1796" max="1796" width="5.42578125" customWidth="1"/>
    <col min="1797" max="1797" width="10.7109375" customWidth="1"/>
    <col min="1798" max="1798" width="15.140625" bestFit="1" customWidth="1"/>
    <col min="1799" max="1800" width="16.140625" customWidth="1"/>
    <col min="2048" max="2048" width="0.42578125" customWidth="1"/>
    <col min="2049" max="2049" width="9.28515625" bestFit="1" customWidth="1"/>
    <col min="2052" max="2052" width="5.42578125" customWidth="1"/>
    <col min="2053" max="2053" width="10.7109375" customWidth="1"/>
    <col min="2054" max="2054" width="15.140625" bestFit="1" customWidth="1"/>
    <col min="2055" max="2056" width="16.140625" customWidth="1"/>
    <col min="2304" max="2304" width="0.42578125" customWidth="1"/>
    <col min="2305" max="2305" width="9.28515625" bestFit="1" customWidth="1"/>
    <col min="2308" max="2308" width="5.42578125" customWidth="1"/>
    <col min="2309" max="2309" width="10.7109375" customWidth="1"/>
    <col min="2310" max="2310" width="15.140625" bestFit="1" customWidth="1"/>
    <col min="2311" max="2312" width="16.140625" customWidth="1"/>
    <col min="2560" max="2560" width="0.42578125" customWidth="1"/>
    <col min="2561" max="2561" width="9.28515625" bestFit="1" customWidth="1"/>
    <col min="2564" max="2564" width="5.42578125" customWidth="1"/>
    <col min="2565" max="2565" width="10.7109375" customWidth="1"/>
    <col min="2566" max="2566" width="15.140625" bestFit="1" customWidth="1"/>
    <col min="2567" max="2568" width="16.140625" customWidth="1"/>
    <col min="2816" max="2816" width="0.42578125" customWidth="1"/>
    <col min="2817" max="2817" width="9.28515625" bestFit="1" customWidth="1"/>
    <col min="2820" max="2820" width="5.42578125" customWidth="1"/>
    <col min="2821" max="2821" width="10.7109375" customWidth="1"/>
    <col min="2822" max="2822" width="15.140625" bestFit="1" customWidth="1"/>
    <col min="2823" max="2824" width="16.140625" customWidth="1"/>
    <col min="3072" max="3072" width="0.42578125" customWidth="1"/>
    <col min="3073" max="3073" width="9.28515625" bestFit="1" customWidth="1"/>
    <col min="3076" max="3076" width="5.42578125" customWidth="1"/>
    <col min="3077" max="3077" width="10.7109375" customWidth="1"/>
    <col min="3078" max="3078" width="15.140625" bestFit="1" customWidth="1"/>
    <col min="3079" max="3080" width="16.140625" customWidth="1"/>
    <col min="3328" max="3328" width="0.42578125" customWidth="1"/>
    <col min="3329" max="3329" width="9.28515625" bestFit="1" customWidth="1"/>
    <col min="3332" max="3332" width="5.42578125" customWidth="1"/>
    <col min="3333" max="3333" width="10.7109375" customWidth="1"/>
    <col min="3334" max="3334" width="15.140625" bestFit="1" customWidth="1"/>
    <col min="3335" max="3336" width="16.140625" customWidth="1"/>
    <col min="3584" max="3584" width="0.42578125" customWidth="1"/>
    <col min="3585" max="3585" width="9.28515625" bestFit="1" customWidth="1"/>
    <col min="3588" max="3588" width="5.42578125" customWidth="1"/>
    <col min="3589" max="3589" width="10.7109375" customWidth="1"/>
    <col min="3590" max="3590" width="15.140625" bestFit="1" customWidth="1"/>
    <col min="3591" max="3592" width="16.140625" customWidth="1"/>
    <col min="3840" max="3840" width="0.42578125" customWidth="1"/>
    <col min="3841" max="3841" width="9.28515625" bestFit="1" customWidth="1"/>
    <col min="3844" max="3844" width="5.42578125" customWidth="1"/>
    <col min="3845" max="3845" width="10.7109375" customWidth="1"/>
    <col min="3846" max="3846" width="15.140625" bestFit="1" customWidth="1"/>
    <col min="3847" max="3848" width="16.140625" customWidth="1"/>
    <col min="4096" max="4096" width="0.42578125" customWidth="1"/>
    <col min="4097" max="4097" width="9.28515625" bestFit="1" customWidth="1"/>
    <col min="4100" max="4100" width="5.42578125" customWidth="1"/>
    <col min="4101" max="4101" width="10.7109375" customWidth="1"/>
    <col min="4102" max="4102" width="15.140625" bestFit="1" customWidth="1"/>
    <col min="4103" max="4104" width="16.140625" customWidth="1"/>
    <col min="4352" max="4352" width="0.42578125" customWidth="1"/>
    <col min="4353" max="4353" width="9.28515625" bestFit="1" customWidth="1"/>
    <col min="4356" max="4356" width="5.42578125" customWidth="1"/>
    <col min="4357" max="4357" width="10.7109375" customWidth="1"/>
    <col min="4358" max="4358" width="15.140625" bestFit="1" customWidth="1"/>
    <col min="4359" max="4360" width="16.140625" customWidth="1"/>
    <col min="4608" max="4608" width="0.42578125" customWidth="1"/>
    <col min="4609" max="4609" width="9.28515625" bestFit="1" customWidth="1"/>
    <col min="4612" max="4612" width="5.42578125" customWidth="1"/>
    <col min="4613" max="4613" width="10.7109375" customWidth="1"/>
    <col min="4614" max="4614" width="15.140625" bestFit="1" customWidth="1"/>
    <col min="4615" max="4616" width="16.140625" customWidth="1"/>
    <col min="4864" max="4864" width="0.42578125" customWidth="1"/>
    <col min="4865" max="4865" width="9.28515625" bestFit="1" customWidth="1"/>
    <col min="4868" max="4868" width="5.42578125" customWidth="1"/>
    <col min="4869" max="4869" width="10.7109375" customWidth="1"/>
    <col min="4870" max="4870" width="15.140625" bestFit="1" customWidth="1"/>
    <col min="4871" max="4872" width="16.140625" customWidth="1"/>
    <col min="5120" max="5120" width="0.42578125" customWidth="1"/>
    <col min="5121" max="5121" width="9.28515625" bestFit="1" customWidth="1"/>
    <col min="5124" max="5124" width="5.42578125" customWidth="1"/>
    <col min="5125" max="5125" width="10.7109375" customWidth="1"/>
    <col min="5126" max="5126" width="15.140625" bestFit="1" customWidth="1"/>
    <col min="5127" max="5128" width="16.140625" customWidth="1"/>
    <col min="5376" max="5376" width="0.42578125" customWidth="1"/>
    <col min="5377" max="5377" width="9.28515625" bestFit="1" customWidth="1"/>
    <col min="5380" max="5380" width="5.42578125" customWidth="1"/>
    <col min="5381" max="5381" width="10.7109375" customWidth="1"/>
    <col min="5382" max="5382" width="15.140625" bestFit="1" customWidth="1"/>
    <col min="5383" max="5384" width="16.140625" customWidth="1"/>
    <col min="5632" max="5632" width="0.42578125" customWidth="1"/>
    <col min="5633" max="5633" width="9.28515625" bestFit="1" customWidth="1"/>
    <col min="5636" max="5636" width="5.42578125" customWidth="1"/>
    <col min="5637" max="5637" width="10.7109375" customWidth="1"/>
    <col min="5638" max="5638" width="15.140625" bestFit="1" customWidth="1"/>
    <col min="5639" max="5640" width="16.140625" customWidth="1"/>
    <col min="5888" max="5888" width="0.42578125" customWidth="1"/>
    <col min="5889" max="5889" width="9.28515625" bestFit="1" customWidth="1"/>
    <col min="5892" max="5892" width="5.42578125" customWidth="1"/>
    <col min="5893" max="5893" width="10.7109375" customWidth="1"/>
    <col min="5894" max="5894" width="15.140625" bestFit="1" customWidth="1"/>
    <col min="5895" max="5896" width="16.140625" customWidth="1"/>
    <col min="6144" max="6144" width="0.42578125" customWidth="1"/>
    <col min="6145" max="6145" width="9.28515625" bestFit="1" customWidth="1"/>
    <col min="6148" max="6148" width="5.42578125" customWidth="1"/>
    <col min="6149" max="6149" width="10.7109375" customWidth="1"/>
    <col min="6150" max="6150" width="15.140625" bestFit="1" customWidth="1"/>
    <col min="6151" max="6152" width="16.140625" customWidth="1"/>
    <col min="6400" max="6400" width="0.42578125" customWidth="1"/>
    <col min="6401" max="6401" width="9.28515625" bestFit="1" customWidth="1"/>
    <col min="6404" max="6404" width="5.42578125" customWidth="1"/>
    <col min="6405" max="6405" width="10.7109375" customWidth="1"/>
    <col min="6406" max="6406" width="15.140625" bestFit="1" customWidth="1"/>
    <col min="6407" max="6408" width="16.140625" customWidth="1"/>
    <col min="6656" max="6656" width="0.42578125" customWidth="1"/>
    <col min="6657" max="6657" width="9.28515625" bestFit="1" customWidth="1"/>
    <col min="6660" max="6660" width="5.42578125" customWidth="1"/>
    <col min="6661" max="6661" width="10.7109375" customWidth="1"/>
    <col min="6662" max="6662" width="15.140625" bestFit="1" customWidth="1"/>
    <col min="6663" max="6664" width="16.140625" customWidth="1"/>
    <col min="6912" max="6912" width="0.42578125" customWidth="1"/>
    <col min="6913" max="6913" width="9.28515625" bestFit="1" customWidth="1"/>
    <col min="6916" max="6916" width="5.42578125" customWidth="1"/>
    <col min="6917" max="6917" width="10.7109375" customWidth="1"/>
    <col min="6918" max="6918" width="15.140625" bestFit="1" customWidth="1"/>
    <col min="6919" max="6920" width="16.140625" customWidth="1"/>
    <col min="7168" max="7168" width="0.42578125" customWidth="1"/>
    <col min="7169" max="7169" width="9.28515625" bestFit="1" customWidth="1"/>
    <col min="7172" max="7172" width="5.42578125" customWidth="1"/>
    <col min="7173" max="7173" width="10.7109375" customWidth="1"/>
    <col min="7174" max="7174" width="15.140625" bestFit="1" customWidth="1"/>
    <col min="7175" max="7176" width="16.140625" customWidth="1"/>
    <col min="7424" max="7424" width="0.42578125" customWidth="1"/>
    <col min="7425" max="7425" width="9.28515625" bestFit="1" customWidth="1"/>
    <col min="7428" max="7428" width="5.42578125" customWidth="1"/>
    <col min="7429" max="7429" width="10.7109375" customWidth="1"/>
    <col min="7430" max="7430" width="15.140625" bestFit="1" customWidth="1"/>
    <col min="7431" max="7432" width="16.140625" customWidth="1"/>
    <col min="7680" max="7680" width="0.42578125" customWidth="1"/>
    <col min="7681" max="7681" width="9.28515625" bestFit="1" customWidth="1"/>
    <col min="7684" max="7684" width="5.42578125" customWidth="1"/>
    <col min="7685" max="7685" width="10.7109375" customWidth="1"/>
    <col min="7686" max="7686" width="15.140625" bestFit="1" customWidth="1"/>
    <col min="7687" max="7688" width="16.140625" customWidth="1"/>
    <col min="7936" max="7936" width="0.42578125" customWidth="1"/>
    <col min="7937" max="7937" width="9.28515625" bestFit="1" customWidth="1"/>
    <col min="7940" max="7940" width="5.42578125" customWidth="1"/>
    <col min="7941" max="7941" width="10.7109375" customWidth="1"/>
    <col min="7942" max="7942" width="15.140625" bestFit="1" customWidth="1"/>
    <col min="7943" max="7944" width="16.140625" customWidth="1"/>
    <col min="8192" max="8192" width="0.42578125" customWidth="1"/>
    <col min="8193" max="8193" width="9.28515625" bestFit="1" customWidth="1"/>
    <col min="8196" max="8196" width="5.42578125" customWidth="1"/>
    <col min="8197" max="8197" width="10.7109375" customWidth="1"/>
    <col min="8198" max="8198" width="15.140625" bestFit="1" customWidth="1"/>
    <col min="8199" max="8200" width="16.140625" customWidth="1"/>
    <col min="8448" max="8448" width="0.42578125" customWidth="1"/>
    <col min="8449" max="8449" width="9.28515625" bestFit="1" customWidth="1"/>
    <col min="8452" max="8452" width="5.42578125" customWidth="1"/>
    <col min="8453" max="8453" width="10.7109375" customWidth="1"/>
    <col min="8454" max="8454" width="15.140625" bestFit="1" customWidth="1"/>
    <col min="8455" max="8456" width="16.140625" customWidth="1"/>
    <col min="8704" max="8704" width="0.42578125" customWidth="1"/>
    <col min="8705" max="8705" width="9.28515625" bestFit="1" customWidth="1"/>
    <col min="8708" max="8708" width="5.42578125" customWidth="1"/>
    <col min="8709" max="8709" width="10.7109375" customWidth="1"/>
    <col min="8710" max="8710" width="15.140625" bestFit="1" customWidth="1"/>
    <col min="8711" max="8712" width="16.140625" customWidth="1"/>
    <col min="8960" max="8960" width="0.42578125" customWidth="1"/>
    <col min="8961" max="8961" width="9.28515625" bestFit="1" customWidth="1"/>
    <col min="8964" max="8964" width="5.42578125" customWidth="1"/>
    <col min="8965" max="8965" width="10.7109375" customWidth="1"/>
    <col min="8966" max="8966" width="15.140625" bestFit="1" customWidth="1"/>
    <col min="8967" max="8968" width="16.140625" customWidth="1"/>
    <col min="9216" max="9216" width="0.42578125" customWidth="1"/>
    <col min="9217" max="9217" width="9.28515625" bestFit="1" customWidth="1"/>
    <col min="9220" max="9220" width="5.42578125" customWidth="1"/>
    <col min="9221" max="9221" width="10.7109375" customWidth="1"/>
    <col min="9222" max="9222" width="15.140625" bestFit="1" customWidth="1"/>
    <col min="9223" max="9224" width="16.140625" customWidth="1"/>
    <col min="9472" max="9472" width="0.42578125" customWidth="1"/>
    <col min="9473" max="9473" width="9.28515625" bestFit="1" customWidth="1"/>
    <col min="9476" max="9476" width="5.42578125" customWidth="1"/>
    <col min="9477" max="9477" width="10.7109375" customWidth="1"/>
    <col min="9478" max="9478" width="15.140625" bestFit="1" customWidth="1"/>
    <col min="9479" max="9480" width="16.140625" customWidth="1"/>
    <col min="9728" max="9728" width="0.42578125" customWidth="1"/>
    <col min="9729" max="9729" width="9.28515625" bestFit="1" customWidth="1"/>
    <col min="9732" max="9732" width="5.42578125" customWidth="1"/>
    <col min="9733" max="9733" width="10.7109375" customWidth="1"/>
    <col min="9734" max="9734" width="15.140625" bestFit="1" customWidth="1"/>
    <col min="9735" max="9736" width="16.140625" customWidth="1"/>
    <col min="9984" max="9984" width="0.42578125" customWidth="1"/>
    <col min="9985" max="9985" width="9.28515625" bestFit="1" customWidth="1"/>
    <col min="9988" max="9988" width="5.42578125" customWidth="1"/>
    <col min="9989" max="9989" width="10.7109375" customWidth="1"/>
    <col min="9990" max="9990" width="15.140625" bestFit="1" customWidth="1"/>
    <col min="9991" max="9992" width="16.140625" customWidth="1"/>
    <col min="10240" max="10240" width="0.42578125" customWidth="1"/>
    <col min="10241" max="10241" width="9.28515625" bestFit="1" customWidth="1"/>
    <col min="10244" max="10244" width="5.42578125" customWidth="1"/>
    <col min="10245" max="10245" width="10.7109375" customWidth="1"/>
    <col min="10246" max="10246" width="15.140625" bestFit="1" customWidth="1"/>
    <col min="10247" max="10248" width="16.140625" customWidth="1"/>
    <col min="10496" max="10496" width="0.42578125" customWidth="1"/>
    <col min="10497" max="10497" width="9.28515625" bestFit="1" customWidth="1"/>
    <col min="10500" max="10500" width="5.42578125" customWidth="1"/>
    <col min="10501" max="10501" width="10.7109375" customWidth="1"/>
    <col min="10502" max="10502" width="15.140625" bestFit="1" customWidth="1"/>
    <col min="10503" max="10504" width="16.140625" customWidth="1"/>
    <col min="10752" max="10752" width="0.42578125" customWidth="1"/>
    <col min="10753" max="10753" width="9.28515625" bestFit="1" customWidth="1"/>
    <col min="10756" max="10756" width="5.42578125" customWidth="1"/>
    <col min="10757" max="10757" width="10.7109375" customWidth="1"/>
    <col min="10758" max="10758" width="15.140625" bestFit="1" customWidth="1"/>
    <col min="10759" max="10760" width="16.140625" customWidth="1"/>
    <col min="11008" max="11008" width="0.42578125" customWidth="1"/>
    <col min="11009" max="11009" width="9.28515625" bestFit="1" customWidth="1"/>
    <col min="11012" max="11012" width="5.42578125" customWidth="1"/>
    <col min="11013" max="11013" width="10.7109375" customWidth="1"/>
    <col min="11014" max="11014" width="15.140625" bestFit="1" customWidth="1"/>
    <col min="11015" max="11016" width="16.140625" customWidth="1"/>
    <col min="11264" max="11264" width="0.42578125" customWidth="1"/>
    <col min="11265" max="11265" width="9.28515625" bestFit="1" customWidth="1"/>
    <col min="11268" max="11268" width="5.42578125" customWidth="1"/>
    <col min="11269" max="11269" width="10.7109375" customWidth="1"/>
    <col min="11270" max="11270" width="15.140625" bestFit="1" customWidth="1"/>
    <col min="11271" max="11272" width="16.140625" customWidth="1"/>
    <col min="11520" max="11520" width="0.42578125" customWidth="1"/>
    <col min="11521" max="11521" width="9.28515625" bestFit="1" customWidth="1"/>
    <col min="11524" max="11524" width="5.42578125" customWidth="1"/>
    <col min="11525" max="11525" width="10.7109375" customWidth="1"/>
    <col min="11526" max="11526" width="15.140625" bestFit="1" customWidth="1"/>
    <col min="11527" max="11528" width="16.140625" customWidth="1"/>
    <col min="11776" max="11776" width="0.42578125" customWidth="1"/>
    <col min="11777" max="11777" width="9.28515625" bestFit="1" customWidth="1"/>
    <col min="11780" max="11780" width="5.42578125" customWidth="1"/>
    <col min="11781" max="11781" width="10.7109375" customWidth="1"/>
    <col min="11782" max="11782" width="15.140625" bestFit="1" customWidth="1"/>
    <col min="11783" max="11784" width="16.140625" customWidth="1"/>
    <col min="12032" max="12032" width="0.42578125" customWidth="1"/>
    <col min="12033" max="12033" width="9.28515625" bestFit="1" customWidth="1"/>
    <col min="12036" max="12036" width="5.42578125" customWidth="1"/>
    <col min="12037" max="12037" width="10.7109375" customWidth="1"/>
    <col min="12038" max="12038" width="15.140625" bestFit="1" customWidth="1"/>
    <col min="12039" max="12040" width="16.140625" customWidth="1"/>
    <col min="12288" max="12288" width="0.42578125" customWidth="1"/>
    <col min="12289" max="12289" width="9.28515625" bestFit="1" customWidth="1"/>
    <col min="12292" max="12292" width="5.42578125" customWidth="1"/>
    <col min="12293" max="12293" width="10.7109375" customWidth="1"/>
    <col min="12294" max="12294" width="15.140625" bestFit="1" customWidth="1"/>
    <col min="12295" max="12296" width="16.140625" customWidth="1"/>
    <col min="12544" max="12544" width="0.42578125" customWidth="1"/>
    <col min="12545" max="12545" width="9.28515625" bestFit="1" customWidth="1"/>
    <col min="12548" max="12548" width="5.42578125" customWidth="1"/>
    <col min="12549" max="12549" width="10.7109375" customWidth="1"/>
    <col min="12550" max="12550" width="15.140625" bestFit="1" customWidth="1"/>
    <col min="12551" max="12552" width="16.140625" customWidth="1"/>
    <col min="12800" max="12800" width="0.42578125" customWidth="1"/>
    <col min="12801" max="12801" width="9.28515625" bestFit="1" customWidth="1"/>
    <col min="12804" max="12804" width="5.42578125" customWidth="1"/>
    <col min="12805" max="12805" width="10.7109375" customWidth="1"/>
    <col min="12806" max="12806" width="15.140625" bestFit="1" customWidth="1"/>
    <col min="12807" max="12808" width="16.140625" customWidth="1"/>
    <col min="13056" max="13056" width="0.42578125" customWidth="1"/>
    <col min="13057" max="13057" width="9.28515625" bestFit="1" customWidth="1"/>
    <col min="13060" max="13060" width="5.42578125" customWidth="1"/>
    <col min="13061" max="13061" width="10.7109375" customWidth="1"/>
    <col min="13062" max="13062" width="15.140625" bestFit="1" customWidth="1"/>
    <col min="13063" max="13064" width="16.140625" customWidth="1"/>
    <col min="13312" max="13312" width="0.42578125" customWidth="1"/>
    <col min="13313" max="13313" width="9.28515625" bestFit="1" customWidth="1"/>
    <col min="13316" max="13316" width="5.42578125" customWidth="1"/>
    <col min="13317" max="13317" width="10.7109375" customWidth="1"/>
    <col min="13318" max="13318" width="15.140625" bestFit="1" customWidth="1"/>
    <col min="13319" max="13320" width="16.140625" customWidth="1"/>
    <col min="13568" max="13568" width="0.42578125" customWidth="1"/>
    <col min="13569" max="13569" width="9.28515625" bestFit="1" customWidth="1"/>
    <col min="13572" max="13572" width="5.42578125" customWidth="1"/>
    <col min="13573" max="13573" width="10.7109375" customWidth="1"/>
    <col min="13574" max="13574" width="15.140625" bestFit="1" customWidth="1"/>
    <col min="13575" max="13576" width="16.140625" customWidth="1"/>
    <col min="13824" max="13824" width="0.42578125" customWidth="1"/>
    <col min="13825" max="13825" width="9.28515625" bestFit="1" customWidth="1"/>
    <col min="13828" max="13828" width="5.42578125" customWidth="1"/>
    <col min="13829" max="13829" width="10.7109375" customWidth="1"/>
    <col min="13830" max="13830" width="15.140625" bestFit="1" customWidth="1"/>
    <col min="13831" max="13832" width="16.140625" customWidth="1"/>
    <col min="14080" max="14080" width="0.42578125" customWidth="1"/>
    <col min="14081" max="14081" width="9.28515625" bestFit="1" customWidth="1"/>
    <col min="14084" max="14084" width="5.42578125" customWidth="1"/>
    <col min="14085" max="14085" width="10.7109375" customWidth="1"/>
    <col min="14086" max="14086" width="15.140625" bestFit="1" customWidth="1"/>
    <col min="14087" max="14088" width="16.140625" customWidth="1"/>
    <col min="14336" max="14336" width="0.42578125" customWidth="1"/>
    <col min="14337" max="14337" width="9.28515625" bestFit="1" customWidth="1"/>
    <col min="14340" max="14340" width="5.42578125" customWidth="1"/>
    <col min="14341" max="14341" width="10.7109375" customWidth="1"/>
    <col min="14342" max="14342" width="15.140625" bestFit="1" customWidth="1"/>
    <col min="14343" max="14344" width="16.140625" customWidth="1"/>
    <col min="14592" max="14592" width="0.42578125" customWidth="1"/>
    <col min="14593" max="14593" width="9.28515625" bestFit="1" customWidth="1"/>
    <col min="14596" max="14596" width="5.42578125" customWidth="1"/>
    <col min="14597" max="14597" width="10.7109375" customWidth="1"/>
    <col min="14598" max="14598" width="15.140625" bestFit="1" customWidth="1"/>
    <col min="14599" max="14600" width="16.140625" customWidth="1"/>
    <col min="14848" max="14848" width="0.42578125" customWidth="1"/>
    <col min="14849" max="14849" width="9.28515625" bestFit="1" customWidth="1"/>
    <col min="14852" max="14852" width="5.42578125" customWidth="1"/>
    <col min="14853" max="14853" width="10.7109375" customWidth="1"/>
    <col min="14854" max="14854" width="15.140625" bestFit="1" customWidth="1"/>
    <col min="14855" max="14856" width="16.140625" customWidth="1"/>
    <col min="15104" max="15104" width="0.42578125" customWidth="1"/>
    <col min="15105" max="15105" width="9.28515625" bestFit="1" customWidth="1"/>
    <col min="15108" max="15108" width="5.42578125" customWidth="1"/>
    <col min="15109" max="15109" width="10.7109375" customWidth="1"/>
    <col min="15110" max="15110" width="15.140625" bestFit="1" customWidth="1"/>
    <col min="15111" max="15112" width="16.140625" customWidth="1"/>
    <col min="15360" max="15360" width="0.42578125" customWidth="1"/>
    <col min="15361" max="15361" width="9.28515625" bestFit="1" customWidth="1"/>
    <col min="15364" max="15364" width="5.42578125" customWidth="1"/>
    <col min="15365" max="15365" width="10.7109375" customWidth="1"/>
    <col min="15366" max="15366" width="15.140625" bestFit="1" customWidth="1"/>
    <col min="15367" max="15368" width="16.140625" customWidth="1"/>
    <col min="15616" max="15616" width="0.42578125" customWidth="1"/>
    <col min="15617" max="15617" width="9.28515625" bestFit="1" customWidth="1"/>
    <col min="15620" max="15620" width="5.42578125" customWidth="1"/>
    <col min="15621" max="15621" width="10.7109375" customWidth="1"/>
    <col min="15622" max="15622" width="15.140625" bestFit="1" customWidth="1"/>
    <col min="15623" max="15624" width="16.140625" customWidth="1"/>
    <col min="15872" max="15872" width="0.42578125" customWidth="1"/>
    <col min="15873" max="15873" width="9.28515625" bestFit="1" customWidth="1"/>
    <col min="15876" max="15876" width="5.42578125" customWidth="1"/>
    <col min="15877" max="15877" width="10.7109375" customWidth="1"/>
    <col min="15878" max="15878" width="15.140625" bestFit="1" customWidth="1"/>
    <col min="15879" max="15880" width="16.140625" customWidth="1"/>
    <col min="16128" max="16128" width="0.42578125" customWidth="1"/>
    <col min="16129" max="16129" width="9.28515625" bestFit="1" customWidth="1"/>
    <col min="16132" max="16132" width="5.42578125" customWidth="1"/>
    <col min="16133" max="16133" width="10.7109375" customWidth="1"/>
    <col min="16134" max="16134" width="15.140625" bestFit="1" customWidth="1"/>
    <col min="16135" max="16136" width="16.140625" customWidth="1"/>
  </cols>
  <sheetData>
    <row r="1" spans="1:10" ht="18.75">
      <c r="A1" s="37"/>
      <c r="B1" s="37"/>
      <c r="C1" s="37"/>
      <c r="D1" s="37"/>
      <c r="E1" s="37"/>
      <c r="F1" s="229" t="s">
        <v>112</v>
      </c>
      <c r="G1" s="230"/>
      <c r="H1" s="230"/>
      <c r="J1"/>
    </row>
    <row r="2" spans="1:10" ht="18.75">
      <c r="A2" s="37"/>
      <c r="B2" s="37"/>
      <c r="C2" s="37"/>
      <c r="D2" s="37"/>
      <c r="E2" s="37"/>
      <c r="F2" s="229"/>
      <c r="G2" s="229"/>
      <c r="H2" s="229"/>
      <c r="J2"/>
    </row>
    <row r="3" spans="1:10" ht="18.75" customHeight="1">
      <c r="A3" s="231" t="s">
        <v>134</v>
      </c>
      <c r="B3" s="231"/>
      <c r="C3" s="231"/>
      <c r="D3" s="231"/>
      <c r="E3" s="231"/>
      <c r="F3" s="231"/>
      <c r="G3" s="231"/>
      <c r="H3" s="231"/>
      <c r="I3" s="38"/>
      <c r="J3"/>
    </row>
    <row r="4" spans="1:10" ht="18.75" customHeight="1">
      <c r="A4" s="232" t="s">
        <v>135</v>
      </c>
      <c r="B4" s="232"/>
      <c r="C4" s="232"/>
      <c r="D4" s="232"/>
      <c r="E4" s="232"/>
      <c r="F4" s="232"/>
      <c r="G4" s="232"/>
      <c r="H4" s="232"/>
      <c r="I4" s="39"/>
      <c r="J4"/>
    </row>
    <row r="5" spans="1:10" ht="18.75">
      <c r="A5" s="232" t="s">
        <v>270</v>
      </c>
      <c r="B5" s="232"/>
      <c r="C5" s="232"/>
      <c r="D5" s="232"/>
      <c r="E5" s="232"/>
      <c r="F5" s="232"/>
      <c r="G5" s="232"/>
      <c r="H5" s="232"/>
      <c r="I5" s="40"/>
      <c r="J5"/>
    </row>
    <row r="6" spans="1:10" ht="36" customHeight="1">
      <c r="A6" s="233" t="s">
        <v>114</v>
      </c>
      <c r="B6" s="233"/>
      <c r="C6" s="233"/>
      <c r="D6" s="233"/>
      <c r="E6" s="233"/>
      <c r="F6" s="233"/>
      <c r="G6" s="233"/>
      <c r="H6" s="233"/>
      <c r="I6" s="42"/>
      <c r="J6"/>
    </row>
    <row r="7" spans="1:10" ht="18.75">
      <c r="A7" s="41"/>
      <c r="B7" s="43"/>
      <c r="C7" s="43"/>
      <c r="D7" s="43"/>
      <c r="E7" s="43"/>
      <c r="F7" s="43"/>
      <c r="G7" s="43"/>
      <c r="H7" s="43"/>
      <c r="I7" s="42"/>
      <c r="J7"/>
    </row>
    <row r="8" spans="1:10" ht="18.75" customHeight="1">
      <c r="A8" s="68" t="s">
        <v>136</v>
      </c>
      <c r="B8" s="235" t="s">
        <v>45</v>
      </c>
      <c r="C8" s="235"/>
      <c r="D8" s="235"/>
      <c r="E8" s="235"/>
      <c r="F8" s="235"/>
      <c r="G8" s="67" t="s">
        <v>137</v>
      </c>
      <c r="H8" s="44" t="s">
        <v>111</v>
      </c>
      <c r="I8" s="45"/>
      <c r="J8"/>
    </row>
    <row r="9" spans="1:10" ht="18.75" customHeight="1">
      <c r="A9" s="66">
        <v>1</v>
      </c>
      <c r="B9" s="236">
        <v>2</v>
      </c>
      <c r="C9" s="236"/>
      <c r="D9" s="236"/>
      <c r="E9" s="236"/>
      <c r="F9" s="236"/>
      <c r="G9" s="54">
        <v>3</v>
      </c>
      <c r="H9" s="46">
        <v>4</v>
      </c>
      <c r="I9" s="45"/>
      <c r="J9"/>
    </row>
    <row r="10" spans="1:10" s="85" customFormat="1" ht="56.25" customHeight="1">
      <c r="A10" s="69">
        <v>1</v>
      </c>
      <c r="B10" s="234" t="s">
        <v>138</v>
      </c>
      <c r="C10" s="234"/>
      <c r="D10" s="234"/>
      <c r="E10" s="234"/>
      <c r="F10" s="234"/>
      <c r="G10" s="47" t="s">
        <v>110</v>
      </c>
      <c r="H10" s="47">
        <f>'211,213 непосред. связан.работы'!C24</f>
        <v>5070043.2894299999</v>
      </c>
      <c r="I10" s="164"/>
    </row>
    <row r="11" spans="1:10" s="85" customFormat="1" ht="94.5" customHeight="1">
      <c r="A11" s="69">
        <v>2</v>
      </c>
      <c r="B11" s="234" t="s">
        <v>139</v>
      </c>
      <c r="C11" s="234"/>
      <c r="D11" s="234"/>
      <c r="E11" s="234"/>
      <c r="F11" s="234"/>
      <c r="G11" s="47" t="s">
        <v>110</v>
      </c>
      <c r="H11" s="47">
        <f>'мат запасы и ОЦДИ работы'!C10</f>
        <v>100000</v>
      </c>
      <c r="I11" s="164"/>
    </row>
    <row r="12" spans="1:10" s="85" customFormat="1" ht="39" customHeight="1">
      <c r="A12" s="69">
        <v>3</v>
      </c>
      <c r="B12" s="234" t="s">
        <v>140</v>
      </c>
      <c r="C12" s="234"/>
      <c r="D12" s="234"/>
      <c r="E12" s="234"/>
      <c r="F12" s="234"/>
      <c r="G12" s="47" t="s">
        <v>110</v>
      </c>
      <c r="H12" s="47">
        <f>'иные затраты Работы'!D16</f>
        <v>492804</v>
      </c>
      <c r="I12" s="164"/>
    </row>
    <row r="13" spans="1:10" s="85" customFormat="1" ht="18.75">
      <c r="A13" s="69">
        <v>4</v>
      </c>
      <c r="B13" s="234" t="s">
        <v>141</v>
      </c>
      <c r="C13" s="234"/>
      <c r="D13" s="234"/>
      <c r="E13" s="234"/>
      <c r="F13" s="234"/>
      <c r="G13" s="47" t="s">
        <v>110</v>
      </c>
      <c r="H13" s="47">
        <f>'ком.услуги работы'!D15</f>
        <v>3250733.8262413996</v>
      </c>
      <c r="I13" s="164"/>
    </row>
    <row r="14" spans="1:10" s="85" customFormat="1" ht="57" customHeight="1">
      <c r="A14" s="69">
        <v>5</v>
      </c>
      <c r="B14" s="234" t="s">
        <v>142</v>
      </c>
      <c r="C14" s="234"/>
      <c r="D14" s="234"/>
      <c r="E14" s="234"/>
      <c r="F14" s="234"/>
      <c r="G14" s="47" t="s">
        <v>110</v>
      </c>
      <c r="H14" s="47">
        <v>0</v>
      </c>
      <c r="I14" s="164"/>
    </row>
    <row r="15" spans="1:10" s="85" customFormat="1" ht="57.75" customHeight="1">
      <c r="A15" s="69">
        <v>6</v>
      </c>
      <c r="B15" s="234" t="s">
        <v>143</v>
      </c>
      <c r="C15" s="234"/>
      <c r="D15" s="234"/>
      <c r="E15" s="234"/>
      <c r="F15" s="234"/>
      <c r="G15" s="47" t="s">
        <v>110</v>
      </c>
      <c r="H15" s="47">
        <v>0</v>
      </c>
      <c r="I15" s="164"/>
    </row>
    <row r="16" spans="1:10" s="85" customFormat="1" ht="95.25" customHeight="1">
      <c r="A16" s="69">
        <v>7</v>
      </c>
      <c r="B16" s="234" t="s">
        <v>144</v>
      </c>
      <c r="C16" s="234"/>
      <c r="D16" s="234"/>
      <c r="E16" s="234"/>
      <c r="F16" s="234"/>
      <c r="G16" s="47" t="s">
        <v>110</v>
      </c>
      <c r="H16" s="47">
        <v>0</v>
      </c>
      <c r="I16" s="164"/>
    </row>
    <row r="17" spans="1:10" s="85" customFormat="1" ht="18.75">
      <c r="A17" s="69">
        <v>8</v>
      </c>
      <c r="B17" s="234" t="s">
        <v>145</v>
      </c>
      <c r="C17" s="234"/>
      <c r="D17" s="234"/>
      <c r="E17" s="234"/>
      <c r="F17" s="234"/>
      <c r="G17" s="47" t="s">
        <v>110</v>
      </c>
      <c r="H17" s="47">
        <f>'221, на содер ОЦДИ работы'!D10</f>
        <v>2599.13</v>
      </c>
      <c r="I17" s="164"/>
    </row>
    <row r="18" spans="1:10" s="85" customFormat="1" ht="21.75" customHeight="1">
      <c r="A18" s="69">
        <v>9</v>
      </c>
      <c r="B18" s="234" t="s">
        <v>146</v>
      </c>
      <c r="C18" s="234"/>
      <c r="D18" s="234"/>
      <c r="E18" s="234"/>
      <c r="F18" s="234"/>
      <c r="G18" s="47" t="s">
        <v>110</v>
      </c>
      <c r="H18" s="47">
        <v>0</v>
      </c>
      <c r="I18" s="164"/>
    </row>
    <row r="19" spans="1:10" s="85" customFormat="1" ht="57.75" customHeight="1">
      <c r="A19" s="69">
        <v>10</v>
      </c>
      <c r="B19" s="234" t="s">
        <v>147</v>
      </c>
      <c r="C19" s="234"/>
      <c r="D19" s="234"/>
      <c r="E19" s="234"/>
      <c r="F19" s="234"/>
      <c r="G19" s="47" t="s">
        <v>110</v>
      </c>
      <c r="H19" s="47">
        <f>'211,213 не связан. работы'!C16</f>
        <v>2042491.2383399999</v>
      </c>
      <c r="I19" s="164"/>
    </row>
    <row r="20" spans="1:10" s="85" customFormat="1" ht="21.75" customHeight="1">
      <c r="A20" s="69">
        <v>11</v>
      </c>
      <c r="B20" s="234" t="s">
        <v>57</v>
      </c>
      <c r="C20" s="234"/>
      <c r="D20" s="234"/>
      <c r="E20" s="234"/>
      <c r="F20" s="234"/>
      <c r="G20" s="47" t="s">
        <v>110</v>
      </c>
      <c r="H20" s="47">
        <f>'общехоз нужды (раб)'!D8</f>
        <v>36990</v>
      </c>
      <c r="I20" s="164"/>
    </row>
    <row r="21" spans="1:10" ht="18.75" customHeight="1">
      <c r="A21" s="48"/>
      <c r="B21" s="48"/>
      <c r="C21" s="48"/>
      <c r="D21" s="48"/>
      <c r="E21" s="49"/>
      <c r="F21" s="50"/>
      <c r="G21" s="51"/>
      <c r="H21" s="52"/>
      <c r="I21" s="45"/>
      <c r="J21"/>
    </row>
    <row r="22" spans="1:10" ht="18.75">
      <c r="A22" s="227" t="s">
        <v>148</v>
      </c>
      <c r="B22" s="228"/>
      <c r="C22" s="228"/>
      <c r="D22" s="228"/>
      <c r="E22" s="228"/>
      <c r="F22" s="55"/>
      <c r="G22" s="226">
        <f>SUM(H10:H20)</f>
        <v>10995661.4840114</v>
      </c>
      <c r="H22" s="226"/>
      <c r="J22"/>
    </row>
    <row r="23" spans="1:10" ht="18.75">
      <c r="A23" s="56"/>
      <c r="B23" s="56"/>
      <c r="C23" s="56"/>
      <c r="D23" s="56"/>
      <c r="E23" s="53"/>
      <c r="F23" s="55"/>
      <c r="G23" s="57"/>
      <c r="H23" s="37"/>
      <c r="J23"/>
    </row>
    <row r="24" spans="1:10" ht="15.75">
      <c r="A24" s="58"/>
      <c r="B24" s="58"/>
      <c r="C24" s="58"/>
      <c r="D24" s="58"/>
      <c r="E24" s="59"/>
      <c r="F24" s="60"/>
      <c r="G24" s="61"/>
      <c r="J24"/>
    </row>
  </sheetData>
  <mergeCells count="21">
    <mergeCell ref="B13:F13"/>
    <mergeCell ref="B14:F14"/>
    <mergeCell ref="B15:F15"/>
    <mergeCell ref="B16:F16"/>
    <mergeCell ref="B17:F17"/>
    <mergeCell ref="G22:H22"/>
    <mergeCell ref="A22:E22"/>
    <mergeCell ref="F1:H1"/>
    <mergeCell ref="F2:H2"/>
    <mergeCell ref="A3:H3"/>
    <mergeCell ref="A4:H4"/>
    <mergeCell ref="A5:H5"/>
    <mergeCell ref="A6:H6"/>
    <mergeCell ref="B18:F18"/>
    <mergeCell ref="B19:F19"/>
    <mergeCell ref="B20:F20"/>
    <mergeCell ref="B8:F8"/>
    <mergeCell ref="B9:F9"/>
    <mergeCell ref="B10:F10"/>
    <mergeCell ref="B11:F11"/>
    <mergeCell ref="B12:F12"/>
  </mergeCells>
  <pageMargins left="0.42" right="0.17" top="0.75" bottom="0.75" header="0.3" footer="0.3"/>
  <pageSetup paperSize="9" scale="9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87"/>
  <sheetViews>
    <sheetView tabSelected="1" view="pageBreakPreview" zoomScale="85" zoomScaleNormal="75" zoomScaleSheetLayoutView="85" workbookViewId="0">
      <selection activeCell="L10" sqref="L10"/>
    </sheetView>
  </sheetViews>
  <sheetFormatPr defaultRowHeight="15.75"/>
  <cols>
    <col min="1" max="1" width="52.140625" style="109" customWidth="1"/>
    <col min="2" max="2" width="10.85546875" style="109" customWidth="1"/>
    <col min="3" max="3" width="14.7109375" style="109" customWidth="1"/>
    <col min="4" max="4" width="28.28515625" style="178" customWidth="1"/>
    <col min="5" max="6" width="15.140625" style="109" bestFit="1" customWidth="1"/>
    <col min="7" max="7" width="13.85546875" style="109" bestFit="1" customWidth="1"/>
    <col min="8" max="247" width="9.140625" style="109"/>
    <col min="248" max="248" width="52.140625" style="109" customWidth="1"/>
    <col min="249" max="250" width="10.85546875" style="109" customWidth="1"/>
    <col min="251" max="251" width="15.140625" style="109" customWidth="1"/>
    <col min="252" max="252" width="15.5703125" style="109" customWidth="1"/>
    <col min="253" max="253" width="15.28515625" style="109" customWidth="1"/>
    <col min="254" max="254" width="16.140625" style="109" customWidth="1"/>
    <col min="255" max="255" width="16" style="109" customWidth="1"/>
    <col min="256" max="256" width="10.85546875" style="109" customWidth="1"/>
    <col min="257" max="257" width="14.7109375" style="109" customWidth="1"/>
    <col min="258" max="258" width="16.42578125" style="109" customWidth="1"/>
    <col min="259" max="259" width="16" style="109" customWidth="1"/>
    <col min="260" max="260" width="9.42578125" style="109" customWidth="1"/>
    <col min="261" max="503" width="9.140625" style="109"/>
    <col min="504" max="504" width="52.140625" style="109" customWidth="1"/>
    <col min="505" max="506" width="10.85546875" style="109" customWidth="1"/>
    <col min="507" max="507" width="15.140625" style="109" customWidth="1"/>
    <col min="508" max="508" width="15.5703125" style="109" customWidth="1"/>
    <col min="509" max="509" width="15.28515625" style="109" customWidth="1"/>
    <col min="510" max="510" width="16.140625" style="109" customWidth="1"/>
    <col min="511" max="511" width="16" style="109" customWidth="1"/>
    <col min="512" max="512" width="10.85546875" style="109" customWidth="1"/>
    <col min="513" max="513" width="14.7109375" style="109" customWidth="1"/>
    <col min="514" max="514" width="16.42578125" style="109" customWidth="1"/>
    <col min="515" max="515" width="16" style="109" customWidth="1"/>
    <col min="516" max="516" width="9.42578125" style="109" customWidth="1"/>
    <col min="517" max="759" width="9.140625" style="109"/>
    <col min="760" max="760" width="52.140625" style="109" customWidth="1"/>
    <col min="761" max="762" width="10.85546875" style="109" customWidth="1"/>
    <col min="763" max="763" width="15.140625" style="109" customWidth="1"/>
    <col min="764" max="764" width="15.5703125" style="109" customWidth="1"/>
    <col min="765" max="765" width="15.28515625" style="109" customWidth="1"/>
    <col min="766" max="766" width="16.140625" style="109" customWidth="1"/>
    <col min="767" max="767" width="16" style="109" customWidth="1"/>
    <col min="768" max="768" width="10.85546875" style="109" customWidth="1"/>
    <col min="769" max="769" width="14.7109375" style="109" customWidth="1"/>
    <col min="770" max="770" width="16.42578125" style="109" customWidth="1"/>
    <col min="771" max="771" width="16" style="109" customWidth="1"/>
    <col min="772" max="772" width="9.42578125" style="109" customWidth="1"/>
    <col min="773" max="1015" width="9.140625" style="109"/>
    <col min="1016" max="1016" width="52.140625" style="109" customWidth="1"/>
    <col min="1017" max="1018" width="10.85546875" style="109" customWidth="1"/>
    <col min="1019" max="1019" width="15.140625" style="109" customWidth="1"/>
    <col min="1020" max="1020" width="15.5703125" style="109" customWidth="1"/>
    <col min="1021" max="1021" width="15.28515625" style="109" customWidth="1"/>
    <col min="1022" max="1022" width="16.140625" style="109" customWidth="1"/>
    <col min="1023" max="1023" width="16" style="109" customWidth="1"/>
    <col min="1024" max="1024" width="10.85546875" style="109" customWidth="1"/>
    <col min="1025" max="1025" width="14.7109375" style="109" customWidth="1"/>
    <col min="1026" max="1026" width="16.42578125" style="109" customWidth="1"/>
    <col min="1027" max="1027" width="16" style="109" customWidth="1"/>
    <col min="1028" max="1028" width="9.42578125" style="109" customWidth="1"/>
    <col min="1029" max="1271" width="9.140625" style="109"/>
    <col min="1272" max="1272" width="52.140625" style="109" customWidth="1"/>
    <col min="1273" max="1274" width="10.85546875" style="109" customWidth="1"/>
    <col min="1275" max="1275" width="15.140625" style="109" customWidth="1"/>
    <col min="1276" max="1276" width="15.5703125" style="109" customWidth="1"/>
    <col min="1277" max="1277" width="15.28515625" style="109" customWidth="1"/>
    <col min="1278" max="1278" width="16.140625" style="109" customWidth="1"/>
    <col min="1279" max="1279" width="16" style="109" customWidth="1"/>
    <col min="1280" max="1280" width="10.85546875" style="109" customWidth="1"/>
    <col min="1281" max="1281" width="14.7109375" style="109" customWidth="1"/>
    <col min="1282" max="1282" width="16.42578125" style="109" customWidth="1"/>
    <col min="1283" max="1283" width="16" style="109" customWidth="1"/>
    <col min="1284" max="1284" width="9.42578125" style="109" customWidth="1"/>
    <col min="1285" max="1527" width="9.140625" style="109"/>
    <col min="1528" max="1528" width="52.140625" style="109" customWidth="1"/>
    <col min="1529" max="1530" width="10.85546875" style="109" customWidth="1"/>
    <col min="1531" max="1531" width="15.140625" style="109" customWidth="1"/>
    <col min="1532" max="1532" width="15.5703125" style="109" customWidth="1"/>
    <col min="1533" max="1533" width="15.28515625" style="109" customWidth="1"/>
    <col min="1534" max="1534" width="16.140625" style="109" customWidth="1"/>
    <col min="1535" max="1535" width="16" style="109" customWidth="1"/>
    <col min="1536" max="1536" width="10.85546875" style="109" customWidth="1"/>
    <col min="1537" max="1537" width="14.7109375" style="109" customWidth="1"/>
    <col min="1538" max="1538" width="16.42578125" style="109" customWidth="1"/>
    <col min="1539" max="1539" width="16" style="109" customWidth="1"/>
    <col min="1540" max="1540" width="9.42578125" style="109" customWidth="1"/>
    <col min="1541" max="1783" width="9.140625" style="109"/>
    <col min="1784" max="1784" width="52.140625" style="109" customWidth="1"/>
    <col min="1785" max="1786" width="10.85546875" style="109" customWidth="1"/>
    <col min="1787" max="1787" width="15.140625" style="109" customWidth="1"/>
    <col min="1788" max="1788" width="15.5703125" style="109" customWidth="1"/>
    <col min="1789" max="1789" width="15.28515625" style="109" customWidth="1"/>
    <col min="1790" max="1790" width="16.140625" style="109" customWidth="1"/>
    <col min="1791" max="1791" width="16" style="109" customWidth="1"/>
    <col min="1792" max="1792" width="10.85546875" style="109" customWidth="1"/>
    <col min="1793" max="1793" width="14.7109375" style="109" customWidth="1"/>
    <col min="1794" max="1794" width="16.42578125" style="109" customWidth="1"/>
    <col min="1795" max="1795" width="16" style="109" customWidth="1"/>
    <col min="1796" max="1796" width="9.42578125" style="109" customWidth="1"/>
    <col min="1797" max="2039" width="9.140625" style="109"/>
    <col min="2040" max="2040" width="52.140625" style="109" customWidth="1"/>
    <col min="2041" max="2042" width="10.85546875" style="109" customWidth="1"/>
    <col min="2043" max="2043" width="15.140625" style="109" customWidth="1"/>
    <col min="2044" max="2044" width="15.5703125" style="109" customWidth="1"/>
    <col min="2045" max="2045" width="15.28515625" style="109" customWidth="1"/>
    <col min="2046" max="2046" width="16.140625" style="109" customWidth="1"/>
    <col min="2047" max="2047" width="16" style="109" customWidth="1"/>
    <col min="2048" max="2048" width="10.85546875" style="109" customWidth="1"/>
    <col min="2049" max="2049" width="14.7109375" style="109" customWidth="1"/>
    <col min="2050" max="2050" width="16.42578125" style="109" customWidth="1"/>
    <col min="2051" max="2051" width="16" style="109" customWidth="1"/>
    <col min="2052" max="2052" width="9.42578125" style="109" customWidth="1"/>
    <col min="2053" max="2295" width="9.140625" style="109"/>
    <col min="2296" max="2296" width="52.140625" style="109" customWidth="1"/>
    <col min="2297" max="2298" width="10.85546875" style="109" customWidth="1"/>
    <col min="2299" max="2299" width="15.140625" style="109" customWidth="1"/>
    <col min="2300" max="2300" width="15.5703125" style="109" customWidth="1"/>
    <col min="2301" max="2301" width="15.28515625" style="109" customWidth="1"/>
    <col min="2302" max="2302" width="16.140625" style="109" customWidth="1"/>
    <col min="2303" max="2303" width="16" style="109" customWidth="1"/>
    <col min="2304" max="2304" width="10.85546875" style="109" customWidth="1"/>
    <col min="2305" max="2305" width="14.7109375" style="109" customWidth="1"/>
    <col min="2306" max="2306" width="16.42578125" style="109" customWidth="1"/>
    <col min="2307" max="2307" width="16" style="109" customWidth="1"/>
    <col min="2308" max="2308" width="9.42578125" style="109" customWidth="1"/>
    <col min="2309" max="2551" width="9.140625" style="109"/>
    <col min="2552" max="2552" width="52.140625" style="109" customWidth="1"/>
    <col min="2553" max="2554" width="10.85546875" style="109" customWidth="1"/>
    <col min="2555" max="2555" width="15.140625" style="109" customWidth="1"/>
    <col min="2556" max="2556" width="15.5703125" style="109" customWidth="1"/>
    <col min="2557" max="2557" width="15.28515625" style="109" customWidth="1"/>
    <col min="2558" max="2558" width="16.140625" style="109" customWidth="1"/>
    <col min="2559" max="2559" width="16" style="109" customWidth="1"/>
    <col min="2560" max="2560" width="10.85546875" style="109" customWidth="1"/>
    <col min="2561" max="2561" width="14.7109375" style="109" customWidth="1"/>
    <col min="2562" max="2562" width="16.42578125" style="109" customWidth="1"/>
    <col min="2563" max="2563" width="16" style="109" customWidth="1"/>
    <col min="2564" max="2564" width="9.42578125" style="109" customWidth="1"/>
    <col min="2565" max="2807" width="9.140625" style="109"/>
    <col min="2808" max="2808" width="52.140625" style="109" customWidth="1"/>
    <col min="2809" max="2810" width="10.85546875" style="109" customWidth="1"/>
    <col min="2811" max="2811" width="15.140625" style="109" customWidth="1"/>
    <col min="2812" max="2812" width="15.5703125" style="109" customWidth="1"/>
    <col min="2813" max="2813" width="15.28515625" style="109" customWidth="1"/>
    <col min="2814" max="2814" width="16.140625" style="109" customWidth="1"/>
    <col min="2815" max="2815" width="16" style="109" customWidth="1"/>
    <col min="2816" max="2816" width="10.85546875" style="109" customWidth="1"/>
    <col min="2817" max="2817" width="14.7109375" style="109" customWidth="1"/>
    <col min="2818" max="2818" width="16.42578125" style="109" customWidth="1"/>
    <col min="2819" max="2819" width="16" style="109" customWidth="1"/>
    <col min="2820" max="2820" width="9.42578125" style="109" customWidth="1"/>
    <col min="2821" max="3063" width="9.140625" style="109"/>
    <col min="3064" max="3064" width="52.140625" style="109" customWidth="1"/>
    <col min="3065" max="3066" width="10.85546875" style="109" customWidth="1"/>
    <col min="3067" max="3067" width="15.140625" style="109" customWidth="1"/>
    <col min="3068" max="3068" width="15.5703125" style="109" customWidth="1"/>
    <col min="3069" max="3069" width="15.28515625" style="109" customWidth="1"/>
    <col min="3070" max="3070" width="16.140625" style="109" customWidth="1"/>
    <col min="3071" max="3071" width="16" style="109" customWidth="1"/>
    <col min="3072" max="3072" width="10.85546875" style="109" customWidth="1"/>
    <col min="3073" max="3073" width="14.7109375" style="109" customWidth="1"/>
    <col min="3074" max="3074" width="16.42578125" style="109" customWidth="1"/>
    <col min="3075" max="3075" width="16" style="109" customWidth="1"/>
    <col min="3076" max="3076" width="9.42578125" style="109" customWidth="1"/>
    <col min="3077" max="3319" width="9.140625" style="109"/>
    <col min="3320" max="3320" width="52.140625" style="109" customWidth="1"/>
    <col min="3321" max="3322" width="10.85546875" style="109" customWidth="1"/>
    <col min="3323" max="3323" width="15.140625" style="109" customWidth="1"/>
    <col min="3324" max="3324" width="15.5703125" style="109" customWidth="1"/>
    <col min="3325" max="3325" width="15.28515625" style="109" customWidth="1"/>
    <col min="3326" max="3326" width="16.140625" style="109" customWidth="1"/>
    <col min="3327" max="3327" width="16" style="109" customWidth="1"/>
    <col min="3328" max="3328" width="10.85546875" style="109" customWidth="1"/>
    <col min="3329" max="3329" width="14.7109375" style="109" customWidth="1"/>
    <col min="3330" max="3330" width="16.42578125" style="109" customWidth="1"/>
    <col min="3331" max="3331" width="16" style="109" customWidth="1"/>
    <col min="3332" max="3332" width="9.42578125" style="109" customWidth="1"/>
    <col min="3333" max="3575" width="9.140625" style="109"/>
    <col min="3576" max="3576" width="52.140625" style="109" customWidth="1"/>
    <col min="3577" max="3578" width="10.85546875" style="109" customWidth="1"/>
    <col min="3579" max="3579" width="15.140625" style="109" customWidth="1"/>
    <col min="3580" max="3580" width="15.5703125" style="109" customWidth="1"/>
    <col min="3581" max="3581" width="15.28515625" style="109" customWidth="1"/>
    <col min="3582" max="3582" width="16.140625" style="109" customWidth="1"/>
    <col min="3583" max="3583" width="16" style="109" customWidth="1"/>
    <col min="3584" max="3584" width="10.85546875" style="109" customWidth="1"/>
    <col min="3585" max="3585" width="14.7109375" style="109" customWidth="1"/>
    <col min="3586" max="3586" width="16.42578125" style="109" customWidth="1"/>
    <col min="3587" max="3587" width="16" style="109" customWidth="1"/>
    <col min="3588" max="3588" width="9.42578125" style="109" customWidth="1"/>
    <col min="3589" max="3831" width="9.140625" style="109"/>
    <col min="3832" max="3832" width="52.140625" style="109" customWidth="1"/>
    <col min="3833" max="3834" width="10.85546875" style="109" customWidth="1"/>
    <col min="3835" max="3835" width="15.140625" style="109" customWidth="1"/>
    <col min="3836" max="3836" width="15.5703125" style="109" customWidth="1"/>
    <col min="3837" max="3837" width="15.28515625" style="109" customWidth="1"/>
    <col min="3838" max="3838" width="16.140625" style="109" customWidth="1"/>
    <col min="3839" max="3839" width="16" style="109" customWidth="1"/>
    <col min="3840" max="3840" width="10.85546875" style="109" customWidth="1"/>
    <col min="3841" max="3841" width="14.7109375" style="109" customWidth="1"/>
    <col min="3842" max="3842" width="16.42578125" style="109" customWidth="1"/>
    <col min="3843" max="3843" width="16" style="109" customWidth="1"/>
    <col min="3844" max="3844" width="9.42578125" style="109" customWidth="1"/>
    <col min="3845" max="4087" width="9.140625" style="109"/>
    <col min="4088" max="4088" width="52.140625" style="109" customWidth="1"/>
    <col min="4089" max="4090" width="10.85546875" style="109" customWidth="1"/>
    <col min="4091" max="4091" width="15.140625" style="109" customWidth="1"/>
    <col min="4092" max="4092" width="15.5703125" style="109" customWidth="1"/>
    <col min="4093" max="4093" width="15.28515625" style="109" customWidth="1"/>
    <col min="4094" max="4094" width="16.140625" style="109" customWidth="1"/>
    <col min="4095" max="4095" width="16" style="109" customWidth="1"/>
    <col min="4096" max="4096" width="10.85546875" style="109" customWidth="1"/>
    <col min="4097" max="4097" width="14.7109375" style="109" customWidth="1"/>
    <col min="4098" max="4098" width="16.42578125" style="109" customWidth="1"/>
    <col min="4099" max="4099" width="16" style="109" customWidth="1"/>
    <col min="4100" max="4100" width="9.42578125" style="109" customWidth="1"/>
    <col min="4101" max="4343" width="9.140625" style="109"/>
    <col min="4344" max="4344" width="52.140625" style="109" customWidth="1"/>
    <col min="4345" max="4346" width="10.85546875" style="109" customWidth="1"/>
    <col min="4347" max="4347" width="15.140625" style="109" customWidth="1"/>
    <col min="4348" max="4348" width="15.5703125" style="109" customWidth="1"/>
    <col min="4349" max="4349" width="15.28515625" style="109" customWidth="1"/>
    <col min="4350" max="4350" width="16.140625" style="109" customWidth="1"/>
    <col min="4351" max="4351" width="16" style="109" customWidth="1"/>
    <col min="4352" max="4352" width="10.85546875" style="109" customWidth="1"/>
    <col min="4353" max="4353" width="14.7109375" style="109" customWidth="1"/>
    <col min="4354" max="4354" width="16.42578125" style="109" customWidth="1"/>
    <col min="4355" max="4355" width="16" style="109" customWidth="1"/>
    <col min="4356" max="4356" width="9.42578125" style="109" customWidth="1"/>
    <col min="4357" max="4599" width="9.140625" style="109"/>
    <col min="4600" max="4600" width="52.140625" style="109" customWidth="1"/>
    <col min="4601" max="4602" width="10.85546875" style="109" customWidth="1"/>
    <col min="4603" max="4603" width="15.140625" style="109" customWidth="1"/>
    <col min="4604" max="4604" width="15.5703125" style="109" customWidth="1"/>
    <col min="4605" max="4605" width="15.28515625" style="109" customWidth="1"/>
    <col min="4606" max="4606" width="16.140625" style="109" customWidth="1"/>
    <col min="4607" max="4607" width="16" style="109" customWidth="1"/>
    <col min="4608" max="4608" width="10.85546875" style="109" customWidth="1"/>
    <col min="4609" max="4609" width="14.7109375" style="109" customWidth="1"/>
    <col min="4610" max="4610" width="16.42578125" style="109" customWidth="1"/>
    <col min="4611" max="4611" width="16" style="109" customWidth="1"/>
    <col min="4612" max="4612" width="9.42578125" style="109" customWidth="1"/>
    <col min="4613" max="4855" width="9.140625" style="109"/>
    <col min="4856" max="4856" width="52.140625" style="109" customWidth="1"/>
    <col min="4857" max="4858" width="10.85546875" style="109" customWidth="1"/>
    <col min="4859" max="4859" width="15.140625" style="109" customWidth="1"/>
    <col min="4860" max="4860" width="15.5703125" style="109" customWidth="1"/>
    <col min="4861" max="4861" width="15.28515625" style="109" customWidth="1"/>
    <col min="4862" max="4862" width="16.140625" style="109" customWidth="1"/>
    <col min="4863" max="4863" width="16" style="109" customWidth="1"/>
    <col min="4864" max="4864" width="10.85546875" style="109" customWidth="1"/>
    <col min="4865" max="4865" width="14.7109375" style="109" customWidth="1"/>
    <col min="4866" max="4866" width="16.42578125" style="109" customWidth="1"/>
    <col min="4867" max="4867" width="16" style="109" customWidth="1"/>
    <col min="4868" max="4868" width="9.42578125" style="109" customWidth="1"/>
    <col min="4869" max="5111" width="9.140625" style="109"/>
    <col min="5112" max="5112" width="52.140625" style="109" customWidth="1"/>
    <col min="5113" max="5114" width="10.85546875" style="109" customWidth="1"/>
    <col min="5115" max="5115" width="15.140625" style="109" customWidth="1"/>
    <col min="5116" max="5116" width="15.5703125" style="109" customWidth="1"/>
    <col min="5117" max="5117" width="15.28515625" style="109" customWidth="1"/>
    <col min="5118" max="5118" width="16.140625" style="109" customWidth="1"/>
    <col min="5119" max="5119" width="16" style="109" customWidth="1"/>
    <col min="5120" max="5120" width="10.85546875" style="109" customWidth="1"/>
    <col min="5121" max="5121" width="14.7109375" style="109" customWidth="1"/>
    <col min="5122" max="5122" width="16.42578125" style="109" customWidth="1"/>
    <col min="5123" max="5123" width="16" style="109" customWidth="1"/>
    <col min="5124" max="5124" width="9.42578125" style="109" customWidth="1"/>
    <col min="5125" max="5367" width="9.140625" style="109"/>
    <col min="5368" max="5368" width="52.140625" style="109" customWidth="1"/>
    <col min="5369" max="5370" width="10.85546875" style="109" customWidth="1"/>
    <col min="5371" max="5371" width="15.140625" style="109" customWidth="1"/>
    <col min="5372" max="5372" width="15.5703125" style="109" customWidth="1"/>
    <col min="5373" max="5373" width="15.28515625" style="109" customWidth="1"/>
    <col min="5374" max="5374" width="16.140625" style="109" customWidth="1"/>
    <col min="5375" max="5375" width="16" style="109" customWidth="1"/>
    <col min="5376" max="5376" width="10.85546875" style="109" customWidth="1"/>
    <col min="5377" max="5377" width="14.7109375" style="109" customWidth="1"/>
    <col min="5378" max="5378" width="16.42578125" style="109" customWidth="1"/>
    <col min="5379" max="5379" width="16" style="109" customWidth="1"/>
    <col min="5380" max="5380" width="9.42578125" style="109" customWidth="1"/>
    <col min="5381" max="5623" width="9.140625" style="109"/>
    <col min="5624" max="5624" width="52.140625" style="109" customWidth="1"/>
    <col min="5625" max="5626" width="10.85546875" style="109" customWidth="1"/>
    <col min="5627" max="5627" width="15.140625" style="109" customWidth="1"/>
    <col min="5628" max="5628" width="15.5703125" style="109" customWidth="1"/>
    <col min="5629" max="5629" width="15.28515625" style="109" customWidth="1"/>
    <col min="5630" max="5630" width="16.140625" style="109" customWidth="1"/>
    <col min="5631" max="5631" width="16" style="109" customWidth="1"/>
    <col min="5632" max="5632" width="10.85546875" style="109" customWidth="1"/>
    <col min="5633" max="5633" width="14.7109375" style="109" customWidth="1"/>
    <col min="5634" max="5634" width="16.42578125" style="109" customWidth="1"/>
    <col min="5635" max="5635" width="16" style="109" customWidth="1"/>
    <col min="5636" max="5636" width="9.42578125" style="109" customWidth="1"/>
    <col min="5637" max="5879" width="9.140625" style="109"/>
    <col min="5880" max="5880" width="52.140625" style="109" customWidth="1"/>
    <col min="5881" max="5882" width="10.85546875" style="109" customWidth="1"/>
    <col min="5883" max="5883" width="15.140625" style="109" customWidth="1"/>
    <col min="5884" max="5884" width="15.5703125" style="109" customWidth="1"/>
    <col min="5885" max="5885" width="15.28515625" style="109" customWidth="1"/>
    <col min="5886" max="5886" width="16.140625" style="109" customWidth="1"/>
    <col min="5887" max="5887" width="16" style="109" customWidth="1"/>
    <col min="5888" max="5888" width="10.85546875" style="109" customWidth="1"/>
    <col min="5889" max="5889" width="14.7109375" style="109" customWidth="1"/>
    <col min="5890" max="5890" width="16.42578125" style="109" customWidth="1"/>
    <col min="5891" max="5891" width="16" style="109" customWidth="1"/>
    <col min="5892" max="5892" width="9.42578125" style="109" customWidth="1"/>
    <col min="5893" max="6135" width="9.140625" style="109"/>
    <col min="6136" max="6136" width="52.140625" style="109" customWidth="1"/>
    <col min="6137" max="6138" width="10.85546875" style="109" customWidth="1"/>
    <col min="6139" max="6139" width="15.140625" style="109" customWidth="1"/>
    <col min="6140" max="6140" width="15.5703125" style="109" customWidth="1"/>
    <col min="6141" max="6141" width="15.28515625" style="109" customWidth="1"/>
    <col min="6142" max="6142" width="16.140625" style="109" customWidth="1"/>
    <col min="6143" max="6143" width="16" style="109" customWidth="1"/>
    <col min="6144" max="6144" width="10.85546875" style="109" customWidth="1"/>
    <col min="6145" max="6145" width="14.7109375" style="109" customWidth="1"/>
    <col min="6146" max="6146" width="16.42578125" style="109" customWidth="1"/>
    <col min="6147" max="6147" width="16" style="109" customWidth="1"/>
    <col min="6148" max="6148" width="9.42578125" style="109" customWidth="1"/>
    <col min="6149" max="6391" width="9.140625" style="109"/>
    <col min="6392" max="6392" width="52.140625" style="109" customWidth="1"/>
    <col min="6393" max="6394" width="10.85546875" style="109" customWidth="1"/>
    <col min="6395" max="6395" width="15.140625" style="109" customWidth="1"/>
    <col min="6396" max="6396" width="15.5703125" style="109" customWidth="1"/>
    <col min="6397" max="6397" width="15.28515625" style="109" customWidth="1"/>
    <col min="6398" max="6398" width="16.140625" style="109" customWidth="1"/>
    <col min="6399" max="6399" width="16" style="109" customWidth="1"/>
    <col min="6400" max="6400" width="10.85546875" style="109" customWidth="1"/>
    <col min="6401" max="6401" width="14.7109375" style="109" customWidth="1"/>
    <col min="6402" max="6402" width="16.42578125" style="109" customWidth="1"/>
    <col min="6403" max="6403" width="16" style="109" customWidth="1"/>
    <col min="6404" max="6404" width="9.42578125" style="109" customWidth="1"/>
    <col min="6405" max="6647" width="9.140625" style="109"/>
    <col min="6648" max="6648" width="52.140625" style="109" customWidth="1"/>
    <col min="6649" max="6650" width="10.85546875" style="109" customWidth="1"/>
    <col min="6651" max="6651" width="15.140625" style="109" customWidth="1"/>
    <col min="6652" max="6652" width="15.5703125" style="109" customWidth="1"/>
    <col min="6653" max="6653" width="15.28515625" style="109" customWidth="1"/>
    <col min="6654" max="6654" width="16.140625" style="109" customWidth="1"/>
    <col min="6655" max="6655" width="16" style="109" customWidth="1"/>
    <col min="6656" max="6656" width="10.85546875" style="109" customWidth="1"/>
    <col min="6657" max="6657" width="14.7109375" style="109" customWidth="1"/>
    <col min="6658" max="6658" width="16.42578125" style="109" customWidth="1"/>
    <col min="6659" max="6659" width="16" style="109" customWidth="1"/>
    <col min="6660" max="6660" width="9.42578125" style="109" customWidth="1"/>
    <col min="6661" max="6903" width="9.140625" style="109"/>
    <col min="6904" max="6904" width="52.140625" style="109" customWidth="1"/>
    <col min="6905" max="6906" width="10.85546875" style="109" customWidth="1"/>
    <col min="6907" max="6907" width="15.140625" style="109" customWidth="1"/>
    <col min="6908" max="6908" width="15.5703125" style="109" customWidth="1"/>
    <col min="6909" max="6909" width="15.28515625" style="109" customWidth="1"/>
    <col min="6910" max="6910" width="16.140625" style="109" customWidth="1"/>
    <col min="6911" max="6911" width="16" style="109" customWidth="1"/>
    <col min="6912" max="6912" width="10.85546875" style="109" customWidth="1"/>
    <col min="6913" max="6913" width="14.7109375" style="109" customWidth="1"/>
    <col min="6914" max="6914" width="16.42578125" style="109" customWidth="1"/>
    <col min="6915" max="6915" width="16" style="109" customWidth="1"/>
    <col min="6916" max="6916" width="9.42578125" style="109" customWidth="1"/>
    <col min="6917" max="7159" width="9.140625" style="109"/>
    <col min="7160" max="7160" width="52.140625" style="109" customWidth="1"/>
    <col min="7161" max="7162" width="10.85546875" style="109" customWidth="1"/>
    <col min="7163" max="7163" width="15.140625" style="109" customWidth="1"/>
    <col min="7164" max="7164" width="15.5703125" style="109" customWidth="1"/>
    <col min="7165" max="7165" width="15.28515625" style="109" customWidth="1"/>
    <col min="7166" max="7166" width="16.140625" style="109" customWidth="1"/>
    <col min="7167" max="7167" width="16" style="109" customWidth="1"/>
    <col min="7168" max="7168" width="10.85546875" style="109" customWidth="1"/>
    <col min="7169" max="7169" width="14.7109375" style="109" customWidth="1"/>
    <col min="7170" max="7170" width="16.42578125" style="109" customWidth="1"/>
    <col min="7171" max="7171" width="16" style="109" customWidth="1"/>
    <col min="7172" max="7172" width="9.42578125" style="109" customWidth="1"/>
    <col min="7173" max="7415" width="9.140625" style="109"/>
    <col min="7416" max="7416" width="52.140625" style="109" customWidth="1"/>
    <col min="7417" max="7418" width="10.85546875" style="109" customWidth="1"/>
    <col min="7419" max="7419" width="15.140625" style="109" customWidth="1"/>
    <col min="7420" max="7420" width="15.5703125" style="109" customWidth="1"/>
    <col min="7421" max="7421" width="15.28515625" style="109" customWidth="1"/>
    <col min="7422" max="7422" width="16.140625" style="109" customWidth="1"/>
    <col min="7423" max="7423" width="16" style="109" customWidth="1"/>
    <col min="7424" max="7424" width="10.85546875" style="109" customWidth="1"/>
    <col min="7425" max="7425" width="14.7109375" style="109" customWidth="1"/>
    <col min="7426" max="7426" width="16.42578125" style="109" customWidth="1"/>
    <col min="7427" max="7427" width="16" style="109" customWidth="1"/>
    <col min="7428" max="7428" width="9.42578125" style="109" customWidth="1"/>
    <col min="7429" max="7671" width="9.140625" style="109"/>
    <col min="7672" max="7672" width="52.140625" style="109" customWidth="1"/>
    <col min="7673" max="7674" width="10.85546875" style="109" customWidth="1"/>
    <col min="7675" max="7675" width="15.140625" style="109" customWidth="1"/>
    <col min="7676" max="7676" width="15.5703125" style="109" customWidth="1"/>
    <col min="7677" max="7677" width="15.28515625" style="109" customWidth="1"/>
    <col min="7678" max="7678" width="16.140625" style="109" customWidth="1"/>
    <col min="7679" max="7679" width="16" style="109" customWidth="1"/>
    <col min="7680" max="7680" width="10.85546875" style="109" customWidth="1"/>
    <col min="7681" max="7681" width="14.7109375" style="109" customWidth="1"/>
    <col min="7682" max="7682" width="16.42578125" style="109" customWidth="1"/>
    <col min="7683" max="7683" width="16" style="109" customWidth="1"/>
    <col min="7684" max="7684" width="9.42578125" style="109" customWidth="1"/>
    <col min="7685" max="7927" width="9.140625" style="109"/>
    <col min="7928" max="7928" width="52.140625" style="109" customWidth="1"/>
    <col min="7929" max="7930" width="10.85546875" style="109" customWidth="1"/>
    <col min="7931" max="7931" width="15.140625" style="109" customWidth="1"/>
    <col min="7932" max="7932" width="15.5703125" style="109" customWidth="1"/>
    <col min="7933" max="7933" width="15.28515625" style="109" customWidth="1"/>
    <col min="7934" max="7934" width="16.140625" style="109" customWidth="1"/>
    <col min="7935" max="7935" width="16" style="109" customWidth="1"/>
    <col min="7936" max="7936" width="10.85546875" style="109" customWidth="1"/>
    <col min="7937" max="7937" width="14.7109375" style="109" customWidth="1"/>
    <col min="7938" max="7938" width="16.42578125" style="109" customWidth="1"/>
    <col min="7939" max="7939" width="16" style="109" customWidth="1"/>
    <col min="7940" max="7940" width="9.42578125" style="109" customWidth="1"/>
    <col min="7941" max="8183" width="9.140625" style="109"/>
    <col min="8184" max="8184" width="52.140625" style="109" customWidth="1"/>
    <col min="8185" max="8186" width="10.85546875" style="109" customWidth="1"/>
    <col min="8187" max="8187" width="15.140625" style="109" customWidth="1"/>
    <col min="8188" max="8188" width="15.5703125" style="109" customWidth="1"/>
    <col min="8189" max="8189" width="15.28515625" style="109" customWidth="1"/>
    <col min="8190" max="8190" width="16.140625" style="109" customWidth="1"/>
    <col min="8191" max="8191" width="16" style="109" customWidth="1"/>
    <col min="8192" max="8192" width="10.85546875" style="109" customWidth="1"/>
    <col min="8193" max="8193" width="14.7109375" style="109" customWidth="1"/>
    <col min="8194" max="8194" width="16.42578125" style="109" customWidth="1"/>
    <col min="8195" max="8195" width="16" style="109" customWidth="1"/>
    <col min="8196" max="8196" width="9.42578125" style="109" customWidth="1"/>
    <col min="8197" max="8439" width="9.140625" style="109"/>
    <col min="8440" max="8440" width="52.140625" style="109" customWidth="1"/>
    <col min="8441" max="8442" width="10.85546875" style="109" customWidth="1"/>
    <col min="8443" max="8443" width="15.140625" style="109" customWidth="1"/>
    <col min="8444" max="8444" width="15.5703125" style="109" customWidth="1"/>
    <col min="8445" max="8445" width="15.28515625" style="109" customWidth="1"/>
    <col min="8446" max="8446" width="16.140625" style="109" customWidth="1"/>
    <col min="8447" max="8447" width="16" style="109" customWidth="1"/>
    <col min="8448" max="8448" width="10.85546875" style="109" customWidth="1"/>
    <col min="8449" max="8449" width="14.7109375" style="109" customWidth="1"/>
    <col min="8450" max="8450" width="16.42578125" style="109" customWidth="1"/>
    <col min="8451" max="8451" width="16" style="109" customWidth="1"/>
    <col min="8452" max="8452" width="9.42578125" style="109" customWidth="1"/>
    <col min="8453" max="8695" width="9.140625" style="109"/>
    <col min="8696" max="8696" width="52.140625" style="109" customWidth="1"/>
    <col min="8697" max="8698" width="10.85546875" style="109" customWidth="1"/>
    <col min="8699" max="8699" width="15.140625" style="109" customWidth="1"/>
    <col min="8700" max="8700" width="15.5703125" style="109" customWidth="1"/>
    <col min="8701" max="8701" width="15.28515625" style="109" customWidth="1"/>
    <col min="8702" max="8702" width="16.140625" style="109" customWidth="1"/>
    <col min="8703" max="8703" width="16" style="109" customWidth="1"/>
    <col min="8704" max="8704" width="10.85546875" style="109" customWidth="1"/>
    <col min="8705" max="8705" width="14.7109375" style="109" customWidth="1"/>
    <col min="8706" max="8706" width="16.42578125" style="109" customWidth="1"/>
    <col min="8707" max="8707" width="16" style="109" customWidth="1"/>
    <col min="8708" max="8708" width="9.42578125" style="109" customWidth="1"/>
    <col min="8709" max="8951" width="9.140625" style="109"/>
    <col min="8952" max="8952" width="52.140625" style="109" customWidth="1"/>
    <col min="8953" max="8954" width="10.85546875" style="109" customWidth="1"/>
    <col min="8955" max="8955" width="15.140625" style="109" customWidth="1"/>
    <col min="8956" max="8956" width="15.5703125" style="109" customWidth="1"/>
    <col min="8957" max="8957" width="15.28515625" style="109" customWidth="1"/>
    <col min="8958" max="8958" width="16.140625" style="109" customWidth="1"/>
    <col min="8959" max="8959" width="16" style="109" customWidth="1"/>
    <col min="8960" max="8960" width="10.85546875" style="109" customWidth="1"/>
    <col min="8961" max="8961" width="14.7109375" style="109" customWidth="1"/>
    <col min="8962" max="8962" width="16.42578125" style="109" customWidth="1"/>
    <col min="8963" max="8963" width="16" style="109" customWidth="1"/>
    <col min="8964" max="8964" width="9.42578125" style="109" customWidth="1"/>
    <col min="8965" max="9207" width="9.140625" style="109"/>
    <col min="9208" max="9208" width="52.140625" style="109" customWidth="1"/>
    <col min="9209" max="9210" width="10.85546875" style="109" customWidth="1"/>
    <col min="9211" max="9211" width="15.140625" style="109" customWidth="1"/>
    <col min="9212" max="9212" width="15.5703125" style="109" customWidth="1"/>
    <col min="9213" max="9213" width="15.28515625" style="109" customWidth="1"/>
    <col min="9214" max="9214" width="16.140625" style="109" customWidth="1"/>
    <col min="9215" max="9215" width="16" style="109" customWidth="1"/>
    <col min="9216" max="9216" width="10.85546875" style="109" customWidth="1"/>
    <col min="9217" max="9217" width="14.7109375" style="109" customWidth="1"/>
    <col min="9218" max="9218" width="16.42578125" style="109" customWidth="1"/>
    <col min="9219" max="9219" width="16" style="109" customWidth="1"/>
    <col min="9220" max="9220" width="9.42578125" style="109" customWidth="1"/>
    <col min="9221" max="9463" width="9.140625" style="109"/>
    <col min="9464" max="9464" width="52.140625" style="109" customWidth="1"/>
    <col min="9465" max="9466" width="10.85546875" style="109" customWidth="1"/>
    <col min="9467" max="9467" width="15.140625" style="109" customWidth="1"/>
    <col min="9468" max="9468" width="15.5703125" style="109" customWidth="1"/>
    <col min="9469" max="9469" width="15.28515625" style="109" customWidth="1"/>
    <col min="9470" max="9470" width="16.140625" style="109" customWidth="1"/>
    <col min="9471" max="9471" width="16" style="109" customWidth="1"/>
    <col min="9472" max="9472" width="10.85546875" style="109" customWidth="1"/>
    <col min="9473" max="9473" width="14.7109375" style="109" customWidth="1"/>
    <col min="9474" max="9474" width="16.42578125" style="109" customWidth="1"/>
    <col min="9475" max="9475" width="16" style="109" customWidth="1"/>
    <col min="9476" max="9476" width="9.42578125" style="109" customWidth="1"/>
    <col min="9477" max="9719" width="9.140625" style="109"/>
    <col min="9720" max="9720" width="52.140625" style="109" customWidth="1"/>
    <col min="9721" max="9722" width="10.85546875" style="109" customWidth="1"/>
    <col min="9723" max="9723" width="15.140625" style="109" customWidth="1"/>
    <col min="9724" max="9724" width="15.5703125" style="109" customWidth="1"/>
    <col min="9725" max="9725" width="15.28515625" style="109" customWidth="1"/>
    <col min="9726" max="9726" width="16.140625" style="109" customWidth="1"/>
    <col min="9727" max="9727" width="16" style="109" customWidth="1"/>
    <col min="9728" max="9728" width="10.85546875" style="109" customWidth="1"/>
    <col min="9729" max="9729" width="14.7109375" style="109" customWidth="1"/>
    <col min="9730" max="9730" width="16.42578125" style="109" customWidth="1"/>
    <col min="9731" max="9731" width="16" style="109" customWidth="1"/>
    <col min="9732" max="9732" width="9.42578125" style="109" customWidth="1"/>
    <col min="9733" max="9975" width="9.140625" style="109"/>
    <col min="9976" max="9976" width="52.140625" style="109" customWidth="1"/>
    <col min="9977" max="9978" width="10.85546875" style="109" customWidth="1"/>
    <col min="9979" max="9979" width="15.140625" style="109" customWidth="1"/>
    <col min="9980" max="9980" width="15.5703125" style="109" customWidth="1"/>
    <col min="9981" max="9981" width="15.28515625" style="109" customWidth="1"/>
    <col min="9982" max="9982" width="16.140625" style="109" customWidth="1"/>
    <col min="9983" max="9983" width="16" style="109" customWidth="1"/>
    <col min="9984" max="9984" width="10.85546875" style="109" customWidth="1"/>
    <col min="9985" max="9985" width="14.7109375" style="109" customWidth="1"/>
    <col min="9986" max="9986" width="16.42578125" style="109" customWidth="1"/>
    <col min="9987" max="9987" width="16" style="109" customWidth="1"/>
    <col min="9988" max="9988" width="9.42578125" style="109" customWidth="1"/>
    <col min="9989" max="10231" width="9.140625" style="109"/>
    <col min="10232" max="10232" width="52.140625" style="109" customWidth="1"/>
    <col min="10233" max="10234" width="10.85546875" style="109" customWidth="1"/>
    <col min="10235" max="10235" width="15.140625" style="109" customWidth="1"/>
    <col min="10236" max="10236" width="15.5703125" style="109" customWidth="1"/>
    <col min="10237" max="10237" width="15.28515625" style="109" customWidth="1"/>
    <col min="10238" max="10238" width="16.140625" style="109" customWidth="1"/>
    <col min="10239" max="10239" width="16" style="109" customWidth="1"/>
    <col min="10240" max="10240" width="10.85546875" style="109" customWidth="1"/>
    <col min="10241" max="10241" width="14.7109375" style="109" customWidth="1"/>
    <col min="10242" max="10242" width="16.42578125" style="109" customWidth="1"/>
    <col min="10243" max="10243" width="16" style="109" customWidth="1"/>
    <col min="10244" max="10244" width="9.42578125" style="109" customWidth="1"/>
    <col min="10245" max="10487" width="9.140625" style="109"/>
    <col min="10488" max="10488" width="52.140625" style="109" customWidth="1"/>
    <col min="10489" max="10490" width="10.85546875" style="109" customWidth="1"/>
    <col min="10491" max="10491" width="15.140625" style="109" customWidth="1"/>
    <col min="10492" max="10492" width="15.5703125" style="109" customWidth="1"/>
    <col min="10493" max="10493" width="15.28515625" style="109" customWidth="1"/>
    <col min="10494" max="10494" width="16.140625" style="109" customWidth="1"/>
    <col min="10495" max="10495" width="16" style="109" customWidth="1"/>
    <col min="10496" max="10496" width="10.85546875" style="109" customWidth="1"/>
    <col min="10497" max="10497" width="14.7109375" style="109" customWidth="1"/>
    <col min="10498" max="10498" width="16.42578125" style="109" customWidth="1"/>
    <col min="10499" max="10499" width="16" style="109" customWidth="1"/>
    <col min="10500" max="10500" width="9.42578125" style="109" customWidth="1"/>
    <col min="10501" max="10743" width="9.140625" style="109"/>
    <col min="10744" max="10744" width="52.140625" style="109" customWidth="1"/>
    <col min="10745" max="10746" width="10.85546875" style="109" customWidth="1"/>
    <col min="10747" max="10747" width="15.140625" style="109" customWidth="1"/>
    <col min="10748" max="10748" width="15.5703125" style="109" customWidth="1"/>
    <col min="10749" max="10749" width="15.28515625" style="109" customWidth="1"/>
    <col min="10750" max="10750" width="16.140625" style="109" customWidth="1"/>
    <col min="10751" max="10751" width="16" style="109" customWidth="1"/>
    <col min="10752" max="10752" width="10.85546875" style="109" customWidth="1"/>
    <col min="10753" max="10753" width="14.7109375" style="109" customWidth="1"/>
    <col min="10754" max="10754" width="16.42578125" style="109" customWidth="1"/>
    <col min="10755" max="10755" width="16" style="109" customWidth="1"/>
    <col min="10756" max="10756" width="9.42578125" style="109" customWidth="1"/>
    <col min="10757" max="10999" width="9.140625" style="109"/>
    <col min="11000" max="11000" width="52.140625" style="109" customWidth="1"/>
    <col min="11001" max="11002" width="10.85546875" style="109" customWidth="1"/>
    <col min="11003" max="11003" width="15.140625" style="109" customWidth="1"/>
    <col min="11004" max="11004" width="15.5703125" style="109" customWidth="1"/>
    <col min="11005" max="11005" width="15.28515625" style="109" customWidth="1"/>
    <col min="11006" max="11006" width="16.140625" style="109" customWidth="1"/>
    <col min="11007" max="11007" width="16" style="109" customWidth="1"/>
    <col min="11008" max="11008" width="10.85546875" style="109" customWidth="1"/>
    <col min="11009" max="11009" width="14.7109375" style="109" customWidth="1"/>
    <col min="11010" max="11010" width="16.42578125" style="109" customWidth="1"/>
    <col min="11011" max="11011" width="16" style="109" customWidth="1"/>
    <col min="11012" max="11012" width="9.42578125" style="109" customWidth="1"/>
    <col min="11013" max="11255" width="9.140625" style="109"/>
    <col min="11256" max="11256" width="52.140625" style="109" customWidth="1"/>
    <col min="11257" max="11258" width="10.85546875" style="109" customWidth="1"/>
    <col min="11259" max="11259" width="15.140625" style="109" customWidth="1"/>
    <col min="11260" max="11260" width="15.5703125" style="109" customWidth="1"/>
    <col min="11261" max="11261" width="15.28515625" style="109" customWidth="1"/>
    <col min="11262" max="11262" width="16.140625" style="109" customWidth="1"/>
    <col min="11263" max="11263" width="16" style="109" customWidth="1"/>
    <col min="11264" max="11264" width="10.85546875" style="109" customWidth="1"/>
    <col min="11265" max="11265" width="14.7109375" style="109" customWidth="1"/>
    <col min="11266" max="11266" width="16.42578125" style="109" customWidth="1"/>
    <col min="11267" max="11267" width="16" style="109" customWidth="1"/>
    <col min="11268" max="11268" width="9.42578125" style="109" customWidth="1"/>
    <col min="11269" max="11511" width="9.140625" style="109"/>
    <col min="11512" max="11512" width="52.140625" style="109" customWidth="1"/>
    <col min="11513" max="11514" width="10.85546875" style="109" customWidth="1"/>
    <col min="11515" max="11515" width="15.140625" style="109" customWidth="1"/>
    <col min="11516" max="11516" width="15.5703125" style="109" customWidth="1"/>
    <col min="11517" max="11517" width="15.28515625" style="109" customWidth="1"/>
    <col min="11518" max="11518" width="16.140625" style="109" customWidth="1"/>
    <col min="11519" max="11519" width="16" style="109" customWidth="1"/>
    <col min="11520" max="11520" width="10.85546875" style="109" customWidth="1"/>
    <col min="11521" max="11521" width="14.7109375" style="109" customWidth="1"/>
    <col min="11522" max="11522" width="16.42578125" style="109" customWidth="1"/>
    <col min="11523" max="11523" width="16" style="109" customWidth="1"/>
    <col min="11524" max="11524" width="9.42578125" style="109" customWidth="1"/>
    <col min="11525" max="11767" width="9.140625" style="109"/>
    <col min="11768" max="11768" width="52.140625" style="109" customWidth="1"/>
    <col min="11769" max="11770" width="10.85546875" style="109" customWidth="1"/>
    <col min="11771" max="11771" width="15.140625" style="109" customWidth="1"/>
    <col min="11772" max="11772" width="15.5703125" style="109" customWidth="1"/>
    <col min="11773" max="11773" width="15.28515625" style="109" customWidth="1"/>
    <col min="11774" max="11774" width="16.140625" style="109" customWidth="1"/>
    <col min="11775" max="11775" width="16" style="109" customWidth="1"/>
    <col min="11776" max="11776" width="10.85546875" style="109" customWidth="1"/>
    <col min="11777" max="11777" width="14.7109375" style="109" customWidth="1"/>
    <col min="11778" max="11778" width="16.42578125" style="109" customWidth="1"/>
    <col min="11779" max="11779" width="16" style="109" customWidth="1"/>
    <col min="11780" max="11780" width="9.42578125" style="109" customWidth="1"/>
    <col min="11781" max="12023" width="9.140625" style="109"/>
    <col min="12024" max="12024" width="52.140625" style="109" customWidth="1"/>
    <col min="12025" max="12026" width="10.85546875" style="109" customWidth="1"/>
    <col min="12027" max="12027" width="15.140625" style="109" customWidth="1"/>
    <col min="12028" max="12028" width="15.5703125" style="109" customWidth="1"/>
    <col min="12029" max="12029" width="15.28515625" style="109" customWidth="1"/>
    <col min="12030" max="12030" width="16.140625" style="109" customWidth="1"/>
    <col min="12031" max="12031" width="16" style="109" customWidth="1"/>
    <col min="12032" max="12032" width="10.85546875" style="109" customWidth="1"/>
    <col min="12033" max="12033" width="14.7109375" style="109" customWidth="1"/>
    <col min="12034" max="12034" width="16.42578125" style="109" customWidth="1"/>
    <col min="12035" max="12035" width="16" style="109" customWidth="1"/>
    <col min="12036" max="12036" width="9.42578125" style="109" customWidth="1"/>
    <col min="12037" max="12279" width="9.140625" style="109"/>
    <col min="12280" max="12280" width="52.140625" style="109" customWidth="1"/>
    <col min="12281" max="12282" width="10.85546875" style="109" customWidth="1"/>
    <col min="12283" max="12283" width="15.140625" style="109" customWidth="1"/>
    <col min="12284" max="12284" width="15.5703125" style="109" customWidth="1"/>
    <col min="12285" max="12285" width="15.28515625" style="109" customWidth="1"/>
    <col min="12286" max="12286" width="16.140625" style="109" customWidth="1"/>
    <col min="12287" max="12287" width="16" style="109" customWidth="1"/>
    <col min="12288" max="12288" width="10.85546875" style="109" customWidth="1"/>
    <col min="12289" max="12289" width="14.7109375" style="109" customWidth="1"/>
    <col min="12290" max="12290" width="16.42578125" style="109" customWidth="1"/>
    <col min="12291" max="12291" width="16" style="109" customWidth="1"/>
    <col min="12292" max="12292" width="9.42578125" style="109" customWidth="1"/>
    <col min="12293" max="12535" width="9.140625" style="109"/>
    <col min="12536" max="12536" width="52.140625" style="109" customWidth="1"/>
    <col min="12537" max="12538" width="10.85546875" style="109" customWidth="1"/>
    <col min="12539" max="12539" width="15.140625" style="109" customWidth="1"/>
    <col min="12540" max="12540" width="15.5703125" style="109" customWidth="1"/>
    <col min="12541" max="12541" width="15.28515625" style="109" customWidth="1"/>
    <col min="12542" max="12542" width="16.140625" style="109" customWidth="1"/>
    <col min="12543" max="12543" width="16" style="109" customWidth="1"/>
    <col min="12544" max="12544" width="10.85546875" style="109" customWidth="1"/>
    <col min="12545" max="12545" width="14.7109375" style="109" customWidth="1"/>
    <col min="12546" max="12546" width="16.42578125" style="109" customWidth="1"/>
    <col min="12547" max="12547" width="16" style="109" customWidth="1"/>
    <col min="12548" max="12548" width="9.42578125" style="109" customWidth="1"/>
    <col min="12549" max="12791" width="9.140625" style="109"/>
    <col min="12792" max="12792" width="52.140625" style="109" customWidth="1"/>
    <col min="12793" max="12794" width="10.85546875" style="109" customWidth="1"/>
    <col min="12795" max="12795" width="15.140625" style="109" customWidth="1"/>
    <col min="12796" max="12796" width="15.5703125" style="109" customWidth="1"/>
    <col min="12797" max="12797" width="15.28515625" style="109" customWidth="1"/>
    <col min="12798" max="12798" width="16.140625" style="109" customWidth="1"/>
    <col min="12799" max="12799" width="16" style="109" customWidth="1"/>
    <col min="12800" max="12800" width="10.85546875" style="109" customWidth="1"/>
    <col min="12801" max="12801" width="14.7109375" style="109" customWidth="1"/>
    <col min="12802" max="12802" width="16.42578125" style="109" customWidth="1"/>
    <col min="12803" max="12803" width="16" style="109" customWidth="1"/>
    <col min="12804" max="12804" width="9.42578125" style="109" customWidth="1"/>
    <col min="12805" max="13047" width="9.140625" style="109"/>
    <col min="13048" max="13048" width="52.140625" style="109" customWidth="1"/>
    <col min="13049" max="13050" width="10.85546875" style="109" customWidth="1"/>
    <col min="13051" max="13051" width="15.140625" style="109" customWidth="1"/>
    <col min="13052" max="13052" width="15.5703125" style="109" customWidth="1"/>
    <col min="13053" max="13053" width="15.28515625" style="109" customWidth="1"/>
    <col min="13054" max="13054" width="16.140625" style="109" customWidth="1"/>
    <col min="13055" max="13055" width="16" style="109" customWidth="1"/>
    <col min="13056" max="13056" width="10.85546875" style="109" customWidth="1"/>
    <col min="13057" max="13057" width="14.7109375" style="109" customWidth="1"/>
    <col min="13058" max="13058" width="16.42578125" style="109" customWidth="1"/>
    <col min="13059" max="13059" width="16" style="109" customWidth="1"/>
    <col min="13060" max="13060" width="9.42578125" style="109" customWidth="1"/>
    <col min="13061" max="13303" width="9.140625" style="109"/>
    <col min="13304" max="13304" width="52.140625" style="109" customWidth="1"/>
    <col min="13305" max="13306" width="10.85546875" style="109" customWidth="1"/>
    <col min="13307" max="13307" width="15.140625" style="109" customWidth="1"/>
    <col min="13308" max="13308" width="15.5703125" style="109" customWidth="1"/>
    <col min="13309" max="13309" width="15.28515625" style="109" customWidth="1"/>
    <col min="13310" max="13310" width="16.140625" style="109" customWidth="1"/>
    <col min="13311" max="13311" width="16" style="109" customWidth="1"/>
    <col min="13312" max="13312" width="10.85546875" style="109" customWidth="1"/>
    <col min="13313" max="13313" width="14.7109375" style="109" customWidth="1"/>
    <col min="13314" max="13314" width="16.42578125" style="109" customWidth="1"/>
    <col min="13315" max="13315" width="16" style="109" customWidth="1"/>
    <col min="13316" max="13316" width="9.42578125" style="109" customWidth="1"/>
    <col min="13317" max="13559" width="9.140625" style="109"/>
    <col min="13560" max="13560" width="52.140625" style="109" customWidth="1"/>
    <col min="13561" max="13562" width="10.85546875" style="109" customWidth="1"/>
    <col min="13563" max="13563" width="15.140625" style="109" customWidth="1"/>
    <col min="13564" max="13564" width="15.5703125" style="109" customWidth="1"/>
    <col min="13565" max="13565" width="15.28515625" style="109" customWidth="1"/>
    <col min="13566" max="13566" width="16.140625" style="109" customWidth="1"/>
    <col min="13567" max="13567" width="16" style="109" customWidth="1"/>
    <col min="13568" max="13568" width="10.85546875" style="109" customWidth="1"/>
    <col min="13569" max="13569" width="14.7109375" style="109" customWidth="1"/>
    <col min="13570" max="13570" width="16.42578125" style="109" customWidth="1"/>
    <col min="13571" max="13571" width="16" style="109" customWidth="1"/>
    <col min="13572" max="13572" width="9.42578125" style="109" customWidth="1"/>
    <col min="13573" max="13815" width="9.140625" style="109"/>
    <col min="13816" max="13816" width="52.140625" style="109" customWidth="1"/>
    <col min="13817" max="13818" width="10.85546875" style="109" customWidth="1"/>
    <col min="13819" max="13819" width="15.140625" style="109" customWidth="1"/>
    <col min="13820" max="13820" width="15.5703125" style="109" customWidth="1"/>
    <col min="13821" max="13821" width="15.28515625" style="109" customWidth="1"/>
    <col min="13822" max="13822" width="16.140625" style="109" customWidth="1"/>
    <col min="13823" max="13823" width="16" style="109" customWidth="1"/>
    <col min="13824" max="13824" width="10.85546875" style="109" customWidth="1"/>
    <col min="13825" max="13825" width="14.7109375" style="109" customWidth="1"/>
    <col min="13826" max="13826" width="16.42578125" style="109" customWidth="1"/>
    <col min="13827" max="13827" width="16" style="109" customWidth="1"/>
    <col min="13828" max="13828" width="9.42578125" style="109" customWidth="1"/>
    <col min="13829" max="14071" width="9.140625" style="109"/>
    <col min="14072" max="14072" width="52.140625" style="109" customWidth="1"/>
    <col min="14073" max="14074" width="10.85546875" style="109" customWidth="1"/>
    <col min="14075" max="14075" width="15.140625" style="109" customWidth="1"/>
    <col min="14076" max="14076" width="15.5703125" style="109" customWidth="1"/>
    <col min="14077" max="14077" width="15.28515625" style="109" customWidth="1"/>
    <col min="14078" max="14078" width="16.140625" style="109" customWidth="1"/>
    <col min="14079" max="14079" width="16" style="109" customWidth="1"/>
    <col min="14080" max="14080" width="10.85546875" style="109" customWidth="1"/>
    <col min="14081" max="14081" width="14.7109375" style="109" customWidth="1"/>
    <col min="14082" max="14082" width="16.42578125" style="109" customWidth="1"/>
    <col min="14083" max="14083" width="16" style="109" customWidth="1"/>
    <col min="14084" max="14084" width="9.42578125" style="109" customWidth="1"/>
    <col min="14085" max="14327" width="9.140625" style="109"/>
    <col min="14328" max="14328" width="52.140625" style="109" customWidth="1"/>
    <col min="14329" max="14330" width="10.85546875" style="109" customWidth="1"/>
    <col min="14331" max="14331" width="15.140625" style="109" customWidth="1"/>
    <col min="14332" max="14332" width="15.5703125" style="109" customWidth="1"/>
    <col min="14333" max="14333" width="15.28515625" style="109" customWidth="1"/>
    <col min="14334" max="14334" width="16.140625" style="109" customWidth="1"/>
    <col min="14335" max="14335" width="16" style="109" customWidth="1"/>
    <col min="14336" max="14336" width="10.85546875" style="109" customWidth="1"/>
    <col min="14337" max="14337" width="14.7109375" style="109" customWidth="1"/>
    <col min="14338" max="14338" width="16.42578125" style="109" customWidth="1"/>
    <col min="14339" max="14339" width="16" style="109" customWidth="1"/>
    <col min="14340" max="14340" width="9.42578125" style="109" customWidth="1"/>
    <col min="14341" max="14583" width="9.140625" style="109"/>
    <col min="14584" max="14584" width="52.140625" style="109" customWidth="1"/>
    <col min="14585" max="14586" width="10.85546875" style="109" customWidth="1"/>
    <col min="14587" max="14587" width="15.140625" style="109" customWidth="1"/>
    <col min="14588" max="14588" width="15.5703125" style="109" customWidth="1"/>
    <col min="14589" max="14589" width="15.28515625" style="109" customWidth="1"/>
    <col min="14590" max="14590" width="16.140625" style="109" customWidth="1"/>
    <col min="14591" max="14591" width="16" style="109" customWidth="1"/>
    <col min="14592" max="14592" width="10.85546875" style="109" customWidth="1"/>
    <col min="14593" max="14593" width="14.7109375" style="109" customWidth="1"/>
    <col min="14594" max="14594" width="16.42578125" style="109" customWidth="1"/>
    <col min="14595" max="14595" width="16" style="109" customWidth="1"/>
    <col min="14596" max="14596" width="9.42578125" style="109" customWidth="1"/>
    <col min="14597" max="14839" width="9.140625" style="109"/>
    <col min="14840" max="14840" width="52.140625" style="109" customWidth="1"/>
    <col min="14841" max="14842" width="10.85546875" style="109" customWidth="1"/>
    <col min="14843" max="14843" width="15.140625" style="109" customWidth="1"/>
    <col min="14844" max="14844" width="15.5703125" style="109" customWidth="1"/>
    <col min="14845" max="14845" width="15.28515625" style="109" customWidth="1"/>
    <col min="14846" max="14846" width="16.140625" style="109" customWidth="1"/>
    <col min="14847" max="14847" width="16" style="109" customWidth="1"/>
    <col min="14848" max="14848" width="10.85546875" style="109" customWidth="1"/>
    <col min="14849" max="14849" width="14.7109375" style="109" customWidth="1"/>
    <col min="14850" max="14850" width="16.42578125" style="109" customWidth="1"/>
    <col min="14851" max="14851" width="16" style="109" customWidth="1"/>
    <col min="14852" max="14852" width="9.42578125" style="109" customWidth="1"/>
    <col min="14853" max="15095" width="9.140625" style="109"/>
    <col min="15096" max="15096" width="52.140625" style="109" customWidth="1"/>
    <col min="15097" max="15098" width="10.85546875" style="109" customWidth="1"/>
    <col min="15099" max="15099" width="15.140625" style="109" customWidth="1"/>
    <col min="15100" max="15100" width="15.5703125" style="109" customWidth="1"/>
    <col min="15101" max="15101" width="15.28515625" style="109" customWidth="1"/>
    <col min="15102" max="15102" width="16.140625" style="109" customWidth="1"/>
    <col min="15103" max="15103" width="16" style="109" customWidth="1"/>
    <col min="15104" max="15104" width="10.85546875" style="109" customWidth="1"/>
    <col min="15105" max="15105" width="14.7109375" style="109" customWidth="1"/>
    <col min="15106" max="15106" width="16.42578125" style="109" customWidth="1"/>
    <col min="15107" max="15107" width="16" style="109" customWidth="1"/>
    <col min="15108" max="15108" width="9.42578125" style="109" customWidth="1"/>
    <col min="15109" max="15351" width="9.140625" style="109"/>
    <col min="15352" max="15352" width="52.140625" style="109" customWidth="1"/>
    <col min="15353" max="15354" width="10.85546875" style="109" customWidth="1"/>
    <col min="15355" max="15355" width="15.140625" style="109" customWidth="1"/>
    <col min="15356" max="15356" width="15.5703125" style="109" customWidth="1"/>
    <col min="15357" max="15357" width="15.28515625" style="109" customWidth="1"/>
    <col min="15358" max="15358" width="16.140625" style="109" customWidth="1"/>
    <col min="15359" max="15359" width="16" style="109" customWidth="1"/>
    <col min="15360" max="15360" width="10.85546875" style="109" customWidth="1"/>
    <col min="15361" max="15361" width="14.7109375" style="109" customWidth="1"/>
    <col min="15362" max="15362" width="16.42578125" style="109" customWidth="1"/>
    <col min="15363" max="15363" width="16" style="109" customWidth="1"/>
    <col min="15364" max="15364" width="9.42578125" style="109" customWidth="1"/>
    <col min="15365" max="15607" width="9.140625" style="109"/>
    <col min="15608" max="15608" width="52.140625" style="109" customWidth="1"/>
    <col min="15609" max="15610" width="10.85546875" style="109" customWidth="1"/>
    <col min="15611" max="15611" width="15.140625" style="109" customWidth="1"/>
    <col min="15612" max="15612" width="15.5703125" style="109" customWidth="1"/>
    <col min="15613" max="15613" width="15.28515625" style="109" customWidth="1"/>
    <col min="15614" max="15614" width="16.140625" style="109" customWidth="1"/>
    <col min="15615" max="15615" width="16" style="109" customWidth="1"/>
    <col min="15616" max="15616" width="10.85546875" style="109" customWidth="1"/>
    <col min="15617" max="15617" width="14.7109375" style="109" customWidth="1"/>
    <col min="15618" max="15618" width="16.42578125" style="109" customWidth="1"/>
    <col min="15619" max="15619" width="16" style="109" customWidth="1"/>
    <col min="15620" max="15620" width="9.42578125" style="109" customWidth="1"/>
    <col min="15621" max="15863" width="9.140625" style="109"/>
    <col min="15864" max="15864" width="52.140625" style="109" customWidth="1"/>
    <col min="15865" max="15866" width="10.85546875" style="109" customWidth="1"/>
    <col min="15867" max="15867" width="15.140625" style="109" customWidth="1"/>
    <col min="15868" max="15868" width="15.5703125" style="109" customWidth="1"/>
    <col min="15869" max="15869" width="15.28515625" style="109" customWidth="1"/>
    <col min="15870" max="15870" width="16.140625" style="109" customWidth="1"/>
    <col min="15871" max="15871" width="16" style="109" customWidth="1"/>
    <col min="15872" max="15872" width="10.85546875" style="109" customWidth="1"/>
    <col min="15873" max="15873" width="14.7109375" style="109" customWidth="1"/>
    <col min="15874" max="15874" width="16.42578125" style="109" customWidth="1"/>
    <col min="15875" max="15875" width="16" style="109" customWidth="1"/>
    <col min="15876" max="15876" width="9.42578125" style="109" customWidth="1"/>
    <col min="15877" max="16119" width="9.140625" style="109"/>
    <col min="16120" max="16120" width="52.140625" style="109" customWidth="1"/>
    <col min="16121" max="16122" width="10.85546875" style="109" customWidth="1"/>
    <col min="16123" max="16123" width="15.140625" style="109" customWidth="1"/>
    <col min="16124" max="16124" width="15.5703125" style="109" customWidth="1"/>
    <col min="16125" max="16125" width="15.28515625" style="109" customWidth="1"/>
    <col min="16126" max="16126" width="16.140625" style="109" customWidth="1"/>
    <col min="16127" max="16127" width="16" style="109" customWidth="1"/>
    <col min="16128" max="16128" width="10.85546875" style="109" customWidth="1"/>
    <col min="16129" max="16129" width="14.7109375" style="109" customWidth="1"/>
    <col min="16130" max="16130" width="16.42578125" style="109" customWidth="1"/>
    <col min="16131" max="16131" width="16" style="109" customWidth="1"/>
    <col min="16132" max="16132" width="9.42578125" style="109" customWidth="1"/>
    <col min="16133" max="16384" width="9.140625" style="109"/>
  </cols>
  <sheetData>
    <row r="2" spans="1:10" ht="18.75">
      <c r="C2" s="110"/>
    </row>
    <row r="3" spans="1:10" ht="18.75">
      <c r="C3" s="111"/>
    </row>
    <row r="4" spans="1:10" ht="18.75">
      <c r="C4" s="111"/>
    </row>
    <row r="5" spans="1:10" ht="18.75">
      <c r="C5" s="112"/>
    </row>
    <row r="6" spans="1:10" ht="18.75">
      <c r="C6" s="111"/>
    </row>
    <row r="7" spans="1:10" ht="24.75" customHeight="1">
      <c r="C7" s="111"/>
    </row>
    <row r="8" spans="1:10">
      <c r="A8" s="113"/>
      <c r="B8" s="113"/>
      <c r="D8" s="179"/>
      <c r="E8" s="114"/>
    </row>
    <row r="9" spans="1:10" ht="20.25">
      <c r="A9" s="275" t="s">
        <v>162</v>
      </c>
      <c r="B9" s="275"/>
      <c r="C9" s="275"/>
      <c r="D9" s="275"/>
      <c r="E9" s="115"/>
      <c r="F9" s="115"/>
      <c r="G9" s="115"/>
      <c r="H9" s="115"/>
      <c r="I9" s="115"/>
      <c r="J9" s="115"/>
    </row>
    <row r="10" spans="1:10" ht="9.75" customHeight="1">
      <c r="A10" s="116"/>
      <c r="B10" s="116"/>
      <c r="C10" s="116"/>
      <c r="D10" s="180"/>
    </row>
    <row r="11" spans="1:10" ht="18.75" customHeight="1">
      <c r="A11" s="276" t="s">
        <v>163</v>
      </c>
      <c r="B11" s="276"/>
      <c r="C11" s="276"/>
      <c r="D11" s="276"/>
      <c r="E11" s="118"/>
      <c r="F11" s="118"/>
      <c r="G11" s="118"/>
      <c r="H11" s="118"/>
      <c r="I11" s="118"/>
      <c r="J11" s="118"/>
    </row>
    <row r="12" spans="1:10" ht="69.75" customHeight="1">
      <c r="A12" s="277" t="s">
        <v>164</v>
      </c>
      <c r="B12" s="277"/>
      <c r="C12" s="277"/>
      <c r="D12" s="277"/>
      <c r="E12" s="119"/>
      <c r="F12" s="119"/>
      <c r="G12" s="119"/>
      <c r="H12" s="119"/>
      <c r="I12" s="119"/>
      <c r="J12" s="119"/>
    </row>
    <row r="13" spans="1:10">
      <c r="A13" s="120"/>
      <c r="B13" s="120"/>
      <c r="C13" s="117"/>
      <c r="D13" s="181"/>
    </row>
    <row r="14" spans="1:10">
      <c r="A14" s="278" t="s">
        <v>165</v>
      </c>
      <c r="B14" s="278" t="s">
        <v>166</v>
      </c>
      <c r="C14" s="278" t="s">
        <v>128</v>
      </c>
      <c r="D14" s="182" t="s">
        <v>272</v>
      </c>
    </row>
    <row r="15" spans="1:10" ht="82.5" customHeight="1">
      <c r="A15" s="278"/>
      <c r="B15" s="278"/>
      <c r="C15" s="278"/>
      <c r="D15" s="183" t="s">
        <v>167</v>
      </c>
    </row>
    <row r="16" spans="1:10">
      <c r="A16" s="121">
        <v>1</v>
      </c>
      <c r="B16" s="121">
        <v>2</v>
      </c>
      <c r="C16" s="121">
        <v>3</v>
      </c>
      <c r="D16" s="121">
        <v>11</v>
      </c>
    </row>
    <row r="17" spans="1:7">
      <c r="A17" s="122" t="s">
        <v>168</v>
      </c>
      <c r="B17" s="122"/>
      <c r="C17" s="123"/>
      <c r="D17" s="184">
        <f>D19+D21+D29+D31+D73</f>
        <v>35399812.530000001</v>
      </c>
    </row>
    <row r="18" spans="1:7">
      <c r="A18" s="124" t="s">
        <v>169</v>
      </c>
      <c r="B18" s="125" t="s">
        <v>170</v>
      </c>
      <c r="C18" s="126"/>
      <c r="D18" s="185">
        <f>D19+D21+D26+D29</f>
        <v>26536130.84</v>
      </c>
    </row>
    <row r="19" spans="1:7">
      <c r="A19" s="124" t="s">
        <v>171</v>
      </c>
      <c r="B19" s="125" t="s">
        <v>172</v>
      </c>
      <c r="C19" s="126"/>
      <c r="D19" s="185">
        <f>D20</f>
        <v>19577187.460000001</v>
      </c>
    </row>
    <row r="20" spans="1:7">
      <c r="A20" s="127" t="s">
        <v>82</v>
      </c>
      <c r="B20" s="128" t="s">
        <v>172</v>
      </c>
      <c r="C20" s="126">
        <v>211</v>
      </c>
      <c r="D20" s="186">
        <f>19608034.46-30847</f>
        <v>19577187.460000001</v>
      </c>
      <c r="E20" s="142"/>
      <c r="F20" s="142"/>
      <c r="G20" s="142"/>
    </row>
    <row r="21" spans="1:7" ht="28.5">
      <c r="A21" s="124" t="s">
        <v>173</v>
      </c>
      <c r="B21" s="125">
        <v>112</v>
      </c>
      <c r="C21" s="126"/>
      <c r="D21" s="185">
        <f>SUM(D22:D25)</f>
        <v>1200221.3999999999</v>
      </c>
    </row>
    <row r="22" spans="1:7" ht="30">
      <c r="A22" s="127" t="s">
        <v>174</v>
      </c>
      <c r="B22" s="128">
        <v>112</v>
      </c>
      <c r="C22" s="126">
        <v>212</v>
      </c>
      <c r="D22" s="186">
        <v>20350</v>
      </c>
    </row>
    <row r="23" spans="1:7" ht="30">
      <c r="A23" s="127" t="s">
        <v>175</v>
      </c>
      <c r="B23" s="128">
        <v>112</v>
      </c>
      <c r="C23" s="126">
        <v>214</v>
      </c>
      <c r="D23" s="186">
        <v>958719.44</v>
      </c>
    </row>
    <row r="24" spans="1:7">
      <c r="A24" s="127" t="s">
        <v>130</v>
      </c>
      <c r="B24" s="128">
        <v>112</v>
      </c>
      <c r="C24" s="126">
        <v>222</v>
      </c>
      <c r="D24" s="186">
        <v>101690.56</v>
      </c>
    </row>
    <row r="25" spans="1:7">
      <c r="A25" s="127" t="s">
        <v>176</v>
      </c>
      <c r="B25" s="128">
        <v>112</v>
      </c>
      <c r="C25" s="126">
        <v>226</v>
      </c>
      <c r="D25" s="186">
        <v>119461.4</v>
      </c>
    </row>
    <row r="26" spans="1:7" ht="57" hidden="1">
      <c r="A26" s="124" t="s">
        <v>177</v>
      </c>
      <c r="B26" s="125" t="s">
        <v>178</v>
      </c>
      <c r="C26" s="126"/>
      <c r="D26" s="185">
        <f>SUM(D27:D28)</f>
        <v>0</v>
      </c>
    </row>
    <row r="27" spans="1:7" hidden="1">
      <c r="A27" s="127" t="s">
        <v>176</v>
      </c>
      <c r="B27" s="128" t="s">
        <v>178</v>
      </c>
      <c r="C27" s="126">
        <v>226</v>
      </c>
      <c r="D27" s="186">
        <f>'[2]КВР 100'!G83</f>
        <v>0</v>
      </c>
    </row>
    <row r="28" spans="1:7" ht="17.25" hidden="1" customHeight="1">
      <c r="A28" s="127" t="s">
        <v>179</v>
      </c>
      <c r="B28" s="128" t="s">
        <v>178</v>
      </c>
      <c r="C28" s="126">
        <v>296</v>
      </c>
      <c r="D28" s="186">
        <f>'[2]КВР 100'!G89</f>
        <v>0</v>
      </c>
    </row>
    <row r="29" spans="1:7" ht="47.25" customHeight="1">
      <c r="A29" s="124" t="s">
        <v>180</v>
      </c>
      <c r="B29" s="125" t="s">
        <v>181</v>
      </c>
      <c r="C29" s="126"/>
      <c r="D29" s="185">
        <f>D30</f>
        <v>5758721.9800000004</v>
      </c>
    </row>
    <row r="30" spans="1:7">
      <c r="A30" s="127" t="s">
        <v>182</v>
      </c>
      <c r="B30" s="128" t="s">
        <v>181</v>
      </c>
      <c r="C30" s="126">
        <v>213</v>
      </c>
      <c r="D30" s="186">
        <f>5758721.98</f>
        <v>5758721.9800000004</v>
      </c>
    </row>
    <row r="31" spans="1:7" ht="28.5">
      <c r="A31" s="124" t="s">
        <v>183</v>
      </c>
      <c r="B31" s="125" t="s">
        <v>184</v>
      </c>
      <c r="C31" s="126"/>
      <c r="D31" s="185">
        <f>D32+D42+D44</f>
        <v>8849669.0899999999</v>
      </c>
    </row>
    <row r="32" spans="1:7" ht="31.5" hidden="1" customHeight="1">
      <c r="A32" s="124" t="s">
        <v>185</v>
      </c>
      <c r="B32" s="125" t="s">
        <v>186</v>
      </c>
      <c r="C32" s="126"/>
      <c r="D32" s="185">
        <f>SUM(D33:D41)</f>
        <v>0</v>
      </c>
    </row>
    <row r="33" spans="1:4" hidden="1">
      <c r="A33" s="127" t="s">
        <v>129</v>
      </c>
      <c r="B33" s="128" t="s">
        <v>186</v>
      </c>
      <c r="C33" s="126">
        <v>221</v>
      </c>
      <c r="D33" s="186">
        <f>'[2]КВР 200'!G8</f>
        <v>0</v>
      </c>
    </row>
    <row r="34" spans="1:4" hidden="1">
      <c r="A34" s="127" t="s">
        <v>132</v>
      </c>
      <c r="B34" s="128" t="s">
        <v>186</v>
      </c>
      <c r="C34" s="126">
        <v>224</v>
      </c>
      <c r="D34" s="186">
        <f>'[2]КВР 200'!G14</f>
        <v>0</v>
      </c>
    </row>
    <row r="35" spans="1:4" hidden="1">
      <c r="A35" s="127" t="s">
        <v>187</v>
      </c>
      <c r="B35" s="128" t="s">
        <v>186</v>
      </c>
      <c r="C35" s="126">
        <v>225</v>
      </c>
      <c r="D35" s="186">
        <f>'[2]КВР 200'!G20</f>
        <v>0</v>
      </c>
    </row>
    <row r="36" spans="1:4" hidden="1">
      <c r="A36" s="127" t="s">
        <v>176</v>
      </c>
      <c r="B36" s="128" t="s">
        <v>186</v>
      </c>
      <c r="C36" s="126">
        <v>226</v>
      </c>
      <c r="D36" s="186">
        <f>'[2]КВР 200'!G26</f>
        <v>0</v>
      </c>
    </row>
    <row r="37" spans="1:4" hidden="1">
      <c r="A37" s="127" t="s">
        <v>188</v>
      </c>
      <c r="B37" s="128" t="s">
        <v>186</v>
      </c>
      <c r="C37" s="126">
        <v>228</v>
      </c>
      <c r="D37" s="186">
        <f>'[2]КВР 200'!G32</f>
        <v>0</v>
      </c>
    </row>
    <row r="38" spans="1:4" hidden="1">
      <c r="A38" s="127" t="s">
        <v>133</v>
      </c>
      <c r="B38" s="128" t="s">
        <v>186</v>
      </c>
      <c r="C38" s="126">
        <v>310</v>
      </c>
      <c r="D38" s="186">
        <f>'[2]КВР 200'!G38</f>
        <v>0</v>
      </c>
    </row>
    <row r="39" spans="1:4" ht="30" hidden="1">
      <c r="A39" s="127" t="s">
        <v>189</v>
      </c>
      <c r="B39" s="128" t="s">
        <v>186</v>
      </c>
      <c r="C39" s="126">
        <v>346</v>
      </c>
      <c r="D39" s="186">
        <f>'[2]КВР 200'!G44</f>
        <v>0</v>
      </c>
    </row>
    <row r="40" spans="1:4" ht="45" hidden="1">
      <c r="A40" s="127" t="s">
        <v>190</v>
      </c>
      <c r="B40" s="128" t="s">
        <v>186</v>
      </c>
      <c r="C40" s="126">
        <v>352</v>
      </c>
      <c r="D40" s="186">
        <f>'[2]КВР 200'!G50</f>
        <v>0</v>
      </c>
    </row>
    <row r="41" spans="1:4" ht="45" hidden="1">
      <c r="A41" s="127" t="s">
        <v>191</v>
      </c>
      <c r="B41" s="128" t="s">
        <v>186</v>
      </c>
      <c r="C41" s="126">
        <v>353</v>
      </c>
      <c r="D41" s="186">
        <f>'[2]КВР 200'!G56</f>
        <v>0</v>
      </c>
    </row>
    <row r="42" spans="1:4" ht="42.75">
      <c r="A42" s="124" t="s">
        <v>192</v>
      </c>
      <c r="B42" s="125" t="s">
        <v>193</v>
      </c>
      <c r="C42" s="126"/>
      <c r="D42" s="185">
        <f>D43</f>
        <v>0</v>
      </c>
    </row>
    <row r="43" spans="1:4">
      <c r="A43" s="127" t="s">
        <v>187</v>
      </c>
      <c r="B43" s="128" t="s">
        <v>193</v>
      </c>
      <c r="C43" s="126">
        <v>225</v>
      </c>
      <c r="D43" s="186">
        <f>'[2]КВР 200'!G64</f>
        <v>0</v>
      </c>
    </row>
    <row r="44" spans="1:4">
      <c r="A44" s="124" t="s">
        <v>194</v>
      </c>
      <c r="B44" s="125" t="s">
        <v>195</v>
      </c>
      <c r="C44" s="126"/>
      <c r="D44" s="185">
        <f>SUM(D45:D63)</f>
        <v>8849669.0899999999</v>
      </c>
    </row>
    <row r="45" spans="1:4">
      <c r="A45" s="127" t="s">
        <v>129</v>
      </c>
      <c r="B45" s="128" t="s">
        <v>195</v>
      </c>
      <c r="C45" s="126">
        <v>221</v>
      </c>
      <c r="D45" s="186">
        <v>186572.24</v>
      </c>
    </row>
    <row r="46" spans="1:4">
      <c r="A46" s="127" t="s">
        <v>130</v>
      </c>
      <c r="B46" s="128" t="s">
        <v>195</v>
      </c>
      <c r="C46" s="126">
        <v>222</v>
      </c>
      <c r="D46" s="186"/>
    </row>
    <row r="47" spans="1:4">
      <c r="A47" s="127" t="s">
        <v>131</v>
      </c>
      <c r="B47" s="128" t="s">
        <v>195</v>
      </c>
      <c r="C47" s="126">
        <v>223</v>
      </c>
      <c r="D47" s="186">
        <v>40786.559999999998</v>
      </c>
    </row>
    <row r="48" spans="1:4">
      <c r="A48" s="127" t="s">
        <v>132</v>
      </c>
      <c r="B48" s="128" t="s">
        <v>195</v>
      </c>
      <c r="C48" s="126">
        <v>224</v>
      </c>
      <c r="D48" s="186">
        <v>0</v>
      </c>
    </row>
    <row r="49" spans="1:4">
      <c r="A49" s="127" t="s">
        <v>187</v>
      </c>
      <c r="B49" s="128" t="s">
        <v>195</v>
      </c>
      <c r="C49" s="126">
        <v>225</v>
      </c>
      <c r="D49" s="186">
        <v>765002.28</v>
      </c>
    </row>
    <row r="50" spans="1:4">
      <c r="A50" s="127" t="s">
        <v>176</v>
      </c>
      <c r="B50" s="128" t="s">
        <v>195</v>
      </c>
      <c r="C50" s="126">
        <v>226</v>
      </c>
      <c r="D50" s="186">
        <v>1322160.71</v>
      </c>
    </row>
    <row r="51" spans="1:4">
      <c r="A51" s="127" t="s">
        <v>196</v>
      </c>
      <c r="B51" s="128" t="s">
        <v>195</v>
      </c>
      <c r="C51" s="126">
        <v>227</v>
      </c>
      <c r="D51" s="186">
        <f>'[2]КВР 200'!G188</f>
        <v>0</v>
      </c>
    </row>
    <row r="52" spans="1:4">
      <c r="A52" s="127" t="s">
        <v>188</v>
      </c>
      <c r="B52" s="128" t="s">
        <v>195</v>
      </c>
      <c r="C52" s="126">
        <v>228</v>
      </c>
      <c r="D52" s="186">
        <f>'[2]КВР 200'!G203</f>
        <v>0</v>
      </c>
    </row>
    <row r="53" spans="1:4" ht="30">
      <c r="A53" s="127" t="s">
        <v>197</v>
      </c>
      <c r="B53" s="128" t="s">
        <v>195</v>
      </c>
      <c r="C53" s="126">
        <v>296</v>
      </c>
      <c r="D53" s="186">
        <f>'[2]КВР 200'!G209</f>
        <v>0</v>
      </c>
    </row>
    <row r="54" spans="1:4">
      <c r="A54" s="127" t="s">
        <v>133</v>
      </c>
      <c r="B54" s="128" t="s">
        <v>195</v>
      </c>
      <c r="C54" s="126">
        <v>310</v>
      </c>
      <c r="D54" s="186">
        <v>133700</v>
      </c>
    </row>
    <row r="55" spans="1:4" ht="30" hidden="1">
      <c r="A55" s="127" t="s">
        <v>198</v>
      </c>
      <c r="B55" s="128" t="s">
        <v>195</v>
      </c>
      <c r="C55" s="126">
        <v>341</v>
      </c>
      <c r="D55" s="186">
        <f>'[2]КВР 200'!G226</f>
        <v>0</v>
      </c>
    </row>
    <row r="56" spans="1:4" hidden="1">
      <c r="A56" s="127" t="s">
        <v>199</v>
      </c>
      <c r="B56" s="128" t="s">
        <v>195</v>
      </c>
      <c r="C56" s="126">
        <v>342</v>
      </c>
      <c r="D56" s="186">
        <f>'[2]КВР 200'!G232</f>
        <v>0</v>
      </c>
    </row>
    <row r="57" spans="1:4" ht="15.75" customHeight="1">
      <c r="A57" s="127" t="s">
        <v>200</v>
      </c>
      <c r="B57" s="128" t="s">
        <v>195</v>
      </c>
      <c r="C57" s="126">
        <v>343</v>
      </c>
      <c r="D57" s="186">
        <v>1339.52</v>
      </c>
    </row>
    <row r="58" spans="1:4">
      <c r="A58" s="127" t="s">
        <v>201</v>
      </c>
      <c r="B58" s="128" t="s">
        <v>195</v>
      </c>
      <c r="C58" s="126">
        <v>344</v>
      </c>
      <c r="D58" s="186">
        <v>6950</v>
      </c>
    </row>
    <row r="59" spans="1:4">
      <c r="A59" s="127" t="s">
        <v>202</v>
      </c>
      <c r="B59" s="128" t="s">
        <v>195</v>
      </c>
      <c r="C59" s="126">
        <v>345</v>
      </c>
      <c r="D59" s="186">
        <v>525</v>
      </c>
    </row>
    <row r="60" spans="1:4" ht="30">
      <c r="A60" s="127" t="s">
        <v>189</v>
      </c>
      <c r="B60" s="128" t="s">
        <v>195</v>
      </c>
      <c r="C60" s="126">
        <v>346</v>
      </c>
      <c r="D60" s="186">
        <v>199793</v>
      </c>
    </row>
    <row r="61" spans="1:4" ht="30" hidden="1">
      <c r="A61" s="127" t="s">
        <v>203</v>
      </c>
      <c r="B61" s="128" t="s">
        <v>195</v>
      </c>
      <c r="C61" s="126">
        <v>347</v>
      </c>
      <c r="D61" s="186">
        <f>'[2]КВР 200'!G401</f>
        <v>0</v>
      </c>
    </row>
    <row r="62" spans="1:4" ht="30">
      <c r="A62" s="127" t="s">
        <v>204</v>
      </c>
      <c r="B62" s="128" t="s">
        <v>195</v>
      </c>
      <c r="C62" s="126">
        <v>349</v>
      </c>
      <c r="D62" s="186">
        <v>120878.18</v>
      </c>
    </row>
    <row r="63" spans="1:4">
      <c r="A63" s="127" t="s">
        <v>131</v>
      </c>
      <c r="B63" s="128" t="s">
        <v>267</v>
      </c>
      <c r="C63" s="126">
        <v>223</v>
      </c>
      <c r="D63" s="186">
        <v>6071961.5999999996</v>
      </c>
    </row>
    <row r="64" spans="1:4" ht="28.5">
      <c r="A64" s="124" t="s">
        <v>205</v>
      </c>
      <c r="B64" s="125" t="s">
        <v>206</v>
      </c>
      <c r="C64" s="126"/>
      <c r="D64" s="185">
        <f>D65+D68</f>
        <v>0</v>
      </c>
    </row>
    <row r="65" spans="1:4" ht="42.75" customHeight="1">
      <c r="A65" s="124" t="s">
        <v>207</v>
      </c>
      <c r="B65" s="125" t="s">
        <v>208</v>
      </c>
      <c r="C65" s="126"/>
      <c r="D65" s="185">
        <f>SUM(D66:D67)</f>
        <v>0</v>
      </c>
    </row>
    <row r="66" spans="1:4" ht="30">
      <c r="A66" s="127" t="s">
        <v>209</v>
      </c>
      <c r="B66" s="128" t="s">
        <v>208</v>
      </c>
      <c r="C66" s="126">
        <v>262</v>
      </c>
      <c r="D66" s="186">
        <v>0</v>
      </c>
    </row>
    <row r="67" spans="1:4" ht="30">
      <c r="A67" s="127" t="s">
        <v>210</v>
      </c>
      <c r="B67" s="128" t="s">
        <v>208</v>
      </c>
      <c r="C67" s="126">
        <v>266</v>
      </c>
      <c r="D67" s="186">
        <v>0</v>
      </c>
    </row>
    <row r="68" spans="1:4">
      <c r="A68" s="124" t="s">
        <v>211</v>
      </c>
      <c r="B68" s="125" t="s">
        <v>212</v>
      </c>
      <c r="C68" s="126"/>
      <c r="D68" s="185">
        <f>D69</f>
        <v>0</v>
      </c>
    </row>
    <row r="69" spans="1:4" ht="22.5" customHeight="1">
      <c r="A69" s="127" t="s">
        <v>179</v>
      </c>
      <c r="B69" s="128" t="s">
        <v>212</v>
      </c>
      <c r="C69" s="126">
        <v>296</v>
      </c>
      <c r="D69" s="186">
        <v>0</v>
      </c>
    </row>
    <row r="70" spans="1:4" ht="30.75" customHeight="1">
      <c r="A70" s="124" t="s">
        <v>213</v>
      </c>
      <c r="B70" s="125" t="s">
        <v>214</v>
      </c>
      <c r="C70" s="126"/>
      <c r="D70" s="185">
        <f>D71</f>
        <v>0</v>
      </c>
    </row>
    <row r="71" spans="1:4" ht="42.75">
      <c r="A71" s="124" t="s">
        <v>215</v>
      </c>
      <c r="B71" s="125" t="s">
        <v>216</v>
      </c>
      <c r="C71" s="126"/>
      <c r="D71" s="185">
        <f>D72</f>
        <v>0</v>
      </c>
    </row>
    <row r="72" spans="1:4">
      <c r="A72" s="127" t="s">
        <v>133</v>
      </c>
      <c r="B72" s="128" t="s">
        <v>216</v>
      </c>
      <c r="C72" s="126">
        <v>310</v>
      </c>
      <c r="D72" s="186">
        <v>0</v>
      </c>
    </row>
    <row r="73" spans="1:4">
      <c r="A73" s="124" t="s">
        <v>217</v>
      </c>
      <c r="B73" s="125" t="s">
        <v>218</v>
      </c>
      <c r="C73" s="126"/>
      <c r="D73" s="185">
        <f>D74+D77+D79+D81</f>
        <v>14012.6</v>
      </c>
    </row>
    <row r="74" spans="1:4" ht="42.75">
      <c r="A74" s="124" t="s">
        <v>219</v>
      </c>
      <c r="B74" s="125" t="s">
        <v>220</v>
      </c>
      <c r="C74" s="126"/>
      <c r="D74" s="185">
        <f>SUM(D75:D76)</f>
        <v>0</v>
      </c>
    </row>
    <row r="75" spans="1:4" ht="17.25" customHeight="1">
      <c r="A75" s="127" t="s">
        <v>179</v>
      </c>
      <c r="B75" s="128" t="s">
        <v>220</v>
      </c>
      <c r="C75" s="126">
        <v>296</v>
      </c>
      <c r="D75" s="186">
        <f>'[2]КВР 800'!G8</f>
        <v>0</v>
      </c>
    </row>
    <row r="76" spans="1:4">
      <c r="A76" s="127" t="s">
        <v>221</v>
      </c>
      <c r="B76" s="128" t="s">
        <v>220</v>
      </c>
      <c r="C76" s="126">
        <v>297</v>
      </c>
      <c r="D76" s="186">
        <f>'[2]КВР 800'!G14</f>
        <v>0</v>
      </c>
    </row>
    <row r="77" spans="1:4" ht="28.5">
      <c r="A77" s="124" t="s">
        <v>222</v>
      </c>
      <c r="B77" s="125" t="s">
        <v>223</v>
      </c>
      <c r="C77" s="126"/>
      <c r="D77" s="185">
        <f>D78</f>
        <v>14012.6</v>
      </c>
    </row>
    <row r="78" spans="1:4">
      <c r="A78" s="127" t="s">
        <v>224</v>
      </c>
      <c r="B78" s="128" t="s">
        <v>223</v>
      </c>
      <c r="C78" s="126">
        <v>291</v>
      </c>
      <c r="D78" s="186">
        <v>14012.6</v>
      </c>
    </row>
    <row r="79" spans="1:4">
      <c r="A79" s="124" t="s">
        <v>225</v>
      </c>
      <c r="B79" s="125" t="s">
        <v>226</v>
      </c>
      <c r="C79" s="126"/>
      <c r="D79" s="185">
        <f>D80</f>
        <v>0</v>
      </c>
    </row>
    <row r="80" spans="1:4">
      <c r="A80" s="127" t="s">
        <v>224</v>
      </c>
      <c r="B80" s="128" t="s">
        <v>226</v>
      </c>
      <c r="C80" s="126">
        <v>291</v>
      </c>
      <c r="D80" s="186">
        <f>'[2]КВР 800'!G28</f>
        <v>0</v>
      </c>
    </row>
    <row r="81" spans="1:4">
      <c r="A81" s="124" t="s">
        <v>227</v>
      </c>
      <c r="B81" s="125" t="s">
        <v>228</v>
      </c>
      <c r="C81" s="126"/>
      <c r="D81" s="185">
        <f>SUM(D82:D85)</f>
        <v>0</v>
      </c>
    </row>
    <row r="82" spans="1:4" ht="30">
      <c r="A82" s="127" t="s">
        <v>229</v>
      </c>
      <c r="B82" s="128" t="s">
        <v>228</v>
      </c>
      <c r="C82" s="126">
        <v>292</v>
      </c>
      <c r="D82" s="186">
        <f>'[2]КВР 800'!G34</f>
        <v>0</v>
      </c>
    </row>
    <row r="83" spans="1:4" ht="30" hidden="1">
      <c r="A83" s="127" t="s">
        <v>230</v>
      </c>
      <c r="B83" s="128" t="s">
        <v>228</v>
      </c>
      <c r="C83" s="126">
        <v>293</v>
      </c>
      <c r="D83" s="187">
        <f>'[2]КВР 800'!G39</f>
        <v>0</v>
      </c>
    </row>
    <row r="84" spans="1:4" ht="15.75" hidden="1" customHeight="1">
      <c r="A84" s="127" t="s">
        <v>179</v>
      </c>
      <c r="B84" s="128" t="s">
        <v>228</v>
      </c>
      <c r="C84" s="126">
        <v>296</v>
      </c>
      <c r="D84" s="187">
        <f>'[2]КВР 800'!G45</f>
        <v>0</v>
      </c>
    </row>
    <row r="85" spans="1:4" hidden="1">
      <c r="A85" s="127" t="s">
        <v>221</v>
      </c>
      <c r="B85" s="128" t="s">
        <v>228</v>
      </c>
      <c r="C85" s="126">
        <v>297</v>
      </c>
      <c r="D85" s="187">
        <f>'[2]КВР 800'!G51</f>
        <v>0</v>
      </c>
    </row>
    <row r="86" spans="1:4" ht="56.25" customHeight="1">
      <c r="D86" s="188"/>
    </row>
    <row r="87" spans="1:4" ht="18.75">
      <c r="A87" s="129"/>
      <c r="B87" s="129"/>
      <c r="C87" s="130"/>
    </row>
  </sheetData>
  <sheetProtection formatCells="0" formatRows="0" insertRows="0" deleteRows="0" pivotTables="0"/>
  <mergeCells count="6">
    <mergeCell ref="A9:D9"/>
    <mergeCell ref="A11:D11"/>
    <mergeCell ref="A12:D12"/>
    <mergeCell ref="A14:A15"/>
    <mergeCell ref="B14:B15"/>
    <mergeCell ref="C14:C15"/>
  </mergeCells>
  <printOptions horizontalCentered="1"/>
  <pageMargins left="0.78740157480314965" right="0.59055118110236227" top="0.39370078740157483" bottom="0.55118110236220474" header="0.27559055118110237" footer="0.27559055118110237"/>
  <pageSetup paperSize="9" scale="68" fitToHeight="2" orientation="landscape" r:id="rId1"/>
  <headerFooter alignWithMargins="0">
    <oddHeader>&amp;R&amp;"Times New Roman,обычный"&amp;8СР</oddHeader>
  </headerFooter>
  <colBreaks count="1" manualBreakCount="1">
    <brk id="6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defaultRowHeight="15"/>
  <cols>
    <col min="1" max="1" width="26.140625" customWidth="1"/>
    <col min="2" max="2" width="17.140625" customWidth="1"/>
    <col min="3" max="3" width="34.28515625" customWidth="1"/>
    <col min="4" max="4" width="14.7109375" customWidth="1"/>
  </cols>
  <sheetData>
    <row r="1" spans="1:5" s="3" customFormat="1" ht="33.75" customHeight="1">
      <c r="A1" s="244" t="s">
        <v>61</v>
      </c>
      <c r="B1" s="244"/>
      <c r="C1" s="244"/>
      <c r="D1" s="244"/>
    </row>
    <row r="2" spans="1:5" s="3" customFormat="1" ht="24" customHeight="1">
      <c r="A2" s="244" t="s">
        <v>62</v>
      </c>
      <c r="B2" s="244"/>
      <c r="C2" s="244"/>
      <c r="D2" s="244"/>
    </row>
    <row r="3" spans="1:5" s="3" customFormat="1" ht="24" customHeight="1">
      <c r="A3" s="243" t="s">
        <v>12</v>
      </c>
      <c r="B3" s="243"/>
      <c r="C3" s="243"/>
      <c r="D3" s="243"/>
    </row>
    <row r="4" spans="1:5" s="3" customFormat="1" ht="24" customHeight="1">
      <c r="A4" s="247" t="s">
        <v>63</v>
      </c>
      <c r="B4" s="247"/>
      <c r="C4" s="247"/>
      <c r="D4" s="247"/>
    </row>
    <row r="5" spans="1:5" s="3" customFormat="1" ht="24" customHeight="1">
      <c r="A5" s="246" t="s">
        <v>254</v>
      </c>
      <c r="B5" s="246"/>
      <c r="C5" s="246"/>
      <c r="D5" s="246"/>
    </row>
    <row r="6" spans="1:5" s="3" customFormat="1" ht="24" customHeight="1">
      <c r="A6" s="245" t="s">
        <v>158</v>
      </c>
      <c r="B6" s="245"/>
      <c r="C6" s="245"/>
      <c r="D6" s="245"/>
    </row>
    <row r="7" spans="1:5" ht="41.25" customHeight="1">
      <c r="A7" s="241" t="s">
        <v>13</v>
      </c>
      <c r="B7" s="241" t="s">
        <v>10</v>
      </c>
      <c r="C7" s="241" t="s">
        <v>11</v>
      </c>
      <c r="D7" s="241" t="s">
        <v>10</v>
      </c>
      <c r="E7" s="1"/>
    </row>
    <row r="8" spans="1:5" ht="30" customHeight="1">
      <c r="A8" s="242"/>
      <c r="B8" s="242"/>
      <c r="C8" s="242"/>
      <c r="D8" s="242"/>
      <c r="E8" s="1"/>
    </row>
    <row r="9" spans="1:5" ht="30" customHeight="1">
      <c r="A9" s="15" t="s">
        <v>64</v>
      </c>
      <c r="B9" s="2">
        <v>2</v>
      </c>
      <c r="C9" s="13" t="s">
        <v>150</v>
      </c>
      <c r="D9" s="2">
        <v>1</v>
      </c>
      <c r="E9" s="1"/>
    </row>
    <row r="10" spans="1:5" ht="23.25" customHeight="1">
      <c r="A10" s="15" t="s">
        <v>65</v>
      </c>
      <c r="B10" s="2">
        <v>1</v>
      </c>
      <c r="C10" s="13" t="s">
        <v>151</v>
      </c>
      <c r="D10" s="2">
        <v>1</v>
      </c>
      <c r="E10" s="1"/>
    </row>
    <row r="11" spans="1:5" ht="59.25" customHeight="1">
      <c r="A11" s="72" t="s">
        <v>149</v>
      </c>
      <c r="B11" s="2">
        <v>1</v>
      </c>
      <c r="C11" s="13" t="s">
        <v>69</v>
      </c>
      <c r="D11" s="2">
        <v>2</v>
      </c>
      <c r="E11" s="1"/>
    </row>
    <row r="12" spans="1:5" ht="30" customHeight="1">
      <c r="A12" s="15" t="s">
        <v>66</v>
      </c>
      <c r="B12" s="2">
        <v>2</v>
      </c>
      <c r="C12" s="13" t="s">
        <v>70</v>
      </c>
      <c r="D12" s="2">
        <v>1</v>
      </c>
      <c r="E12" s="1"/>
    </row>
    <row r="13" spans="1:5" ht="30.75" customHeight="1">
      <c r="A13" s="78" t="s">
        <v>68</v>
      </c>
      <c r="B13" s="73">
        <v>1</v>
      </c>
      <c r="C13" s="13" t="s">
        <v>152</v>
      </c>
      <c r="D13" s="2">
        <v>1</v>
      </c>
      <c r="E13" s="1"/>
    </row>
    <row r="14" spans="1:5" ht="30" customHeight="1">
      <c r="A14" s="237" t="s">
        <v>67</v>
      </c>
      <c r="B14" s="239">
        <v>4</v>
      </c>
      <c r="C14" s="74" t="s">
        <v>72</v>
      </c>
      <c r="D14" s="2">
        <v>1</v>
      </c>
      <c r="E14" s="1"/>
    </row>
    <row r="15" spans="1:5" ht="20.25" customHeight="1">
      <c r="A15" s="238"/>
      <c r="B15" s="240"/>
      <c r="C15" s="74" t="s">
        <v>73</v>
      </c>
      <c r="D15" s="2">
        <v>2</v>
      </c>
      <c r="E15" s="1"/>
    </row>
    <row r="16" spans="1:5">
      <c r="A16" s="238"/>
      <c r="B16" s="240"/>
      <c r="C16" s="75" t="s">
        <v>74</v>
      </c>
      <c r="D16" s="12">
        <v>1</v>
      </c>
    </row>
    <row r="17" spans="1:4">
      <c r="A17" s="238"/>
      <c r="B17" s="240"/>
      <c r="C17" s="75" t="s">
        <v>153</v>
      </c>
      <c r="D17" s="12">
        <v>1</v>
      </c>
    </row>
    <row r="18" spans="1:4" ht="30">
      <c r="A18" s="76"/>
      <c r="B18" s="77"/>
      <c r="C18" s="171" t="s">
        <v>154</v>
      </c>
      <c r="D18" s="79">
        <v>1</v>
      </c>
    </row>
  </sheetData>
  <mergeCells count="12">
    <mergeCell ref="A3:D3"/>
    <mergeCell ref="A2:D2"/>
    <mergeCell ref="A1:D1"/>
    <mergeCell ref="A6:D6"/>
    <mergeCell ref="A5:D5"/>
    <mergeCell ref="A4:D4"/>
    <mergeCell ref="A14:A17"/>
    <mergeCell ref="B14:B17"/>
    <mergeCell ref="A7:A8"/>
    <mergeCell ref="C7:C8"/>
    <mergeCell ref="D7:D8"/>
    <mergeCell ref="B7: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F23" sqref="F23"/>
    </sheetView>
  </sheetViews>
  <sheetFormatPr defaultRowHeight="15"/>
  <cols>
    <col min="1" max="1" width="21.42578125" customWidth="1"/>
    <col min="2" max="2" width="16.5703125" customWidth="1"/>
    <col min="3" max="4" width="21.5703125" customWidth="1"/>
    <col min="5" max="5" width="18.7109375" customWidth="1"/>
    <col min="6" max="6" width="17.7109375" customWidth="1"/>
    <col min="7" max="7" width="22.42578125" customWidth="1"/>
    <col min="8" max="8" width="24.42578125" customWidth="1"/>
    <col min="9" max="9" width="18.85546875" customWidth="1"/>
  </cols>
  <sheetData>
    <row r="1" spans="1:9" s="85" customFormat="1" ht="15.75">
      <c r="A1" s="248" t="s">
        <v>14</v>
      </c>
      <c r="B1" s="248"/>
      <c r="C1" s="248"/>
      <c r="D1" s="248"/>
      <c r="E1" s="248"/>
      <c r="F1" s="248"/>
      <c r="G1" s="248"/>
      <c r="H1" s="248"/>
      <c r="I1" s="248"/>
    </row>
    <row r="2" spans="1:9" s="85" customFormat="1"/>
    <row r="3" spans="1:9" s="85" customFormat="1">
      <c r="A3" s="95" t="s">
        <v>257</v>
      </c>
    </row>
    <row r="4" spans="1:9" s="85" customFormat="1">
      <c r="A4" s="95" t="s">
        <v>271</v>
      </c>
    </row>
    <row r="5" spans="1:9" s="85" customFormat="1">
      <c r="A5" s="95" t="s">
        <v>161</v>
      </c>
    </row>
    <row r="6" spans="1:9" s="85" customFormat="1"/>
    <row r="7" spans="1:9" s="85" customFormat="1" ht="75" customHeight="1">
      <c r="A7" s="250" t="s">
        <v>15</v>
      </c>
      <c r="B7" s="250" t="s">
        <v>16</v>
      </c>
      <c r="C7" s="250" t="s">
        <v>17</v>
      </c>
      <c r="D7" s="170" t="s">
        <v>124</v>
      </c>
      <c r="E7" s="250" t="s">
        <v>22</v>
      </c>
      <c r="F7" s="250" t="s">
        <v>234</v>
      </c>
      <c r="G7" s="250" t="s">
        <v>18</v>
      </c>
      <c r="H7" s="252" t="s">
        <v>233</v>
      </c>
      <c r="I7" s="250" t="s">
        <v>19</v>
      </c>
    </row>
    <row r="8" spans="1:9" s="85" customFormat="1" ht="8.25" hidden="1" customHeight="1">
      <c r="A8" s="250"/>
      <c r="B8" s="250"/>
      <c r="C8" s="250"/>
      <c r="D8" s="170"/>
      <c r="E8" s="250"/>
      <c r="F8" s="250"/>
      <c r="G8" s="250"/>
      <c r="H8" s="253"/>
      <c r="I8" s="250"/>
    </row>
    <row r="9" spans="1:9" s="85" customFormat="1" hidden="1">
      <c r="A9" s="250"/>
      <c r="B9" s="250"/>
      <c r="C9" s="250"/>
      <c r="D9" s="170"/>
      <c r="E9" s="250"/>
      <c r="F9" s="250"/>
      <c r="G9" s="250"/>
      <c r="H9" s="254"/>
      <c r="I9" s="250"/>
    </row>
    <row r="10" spans="1:9" s="85" customFormat="1">
      <c r="A10" s="249">
        <v>1</v>
      </c>
      <c r="B10" s="249">
        <v>2</v>
      </c>
      <c r="C10" s="249">
        <v>3</v>
      </c>
      <c r="D10" s="169"/>
      <c r="E10" s="249" t="s">
        <v>255</v>
      </c>
      <c r="F10" s="249">
        <v>5</v>
      </c>
      <c r="G10" s="249" t="s">
        <v>20</v>
      </c>
      <c r="H10" s="249" t="s">
        <v>256</v>
      </c>
      <c r="I10" s="249" t="s">
        <v>258</v>
      </c>
    </row>
    <row r="11" spans="1:9" s="85" customFormat="1" ht="14.25" customHeight="1">
      <c r="A11" s="249"/>
      <c r="B11" s="249"/>
      <c r="C11" s="249"/>
      <c r="D11" s="169"/>
      <c r="E11" s="249"/>
      <c r="F11" s="249"/>
      <c r="G11" s="249"/>
      <c r="H11" s="249"/>
      <c r="I11" s="249"/>
    </row>
    <row r="12" spans="1:9" s="85" customFormat="1">
      <c r="A12" s="96" t="s">
        <v>64</v>
      </c>
      <c r="B12" s="97">
        <f>'[1]Тариф. с учетом повышения'!$Y$21</f>
        <v>54082.439999999995</v>
      </c>
      <c r="C12" s="98">
        <v>2</v>
      </c>
      <c r="D12" s="99">
        <f>B12*C12</f>
        <v>108164.87999999999</v>
      </c>
      <c r="E12" s="100">
        <f t="shared" ref="E12:E17" si="0">C12*1979</f>
        <v>3958</v>
      </c>
      <c r="F12" s="101">
        <v>4200</v>
      </c>
      <c r="G12" s="102">
        <f>E12/F12</f>
        <v>0.94238095238095243</v>
      </c>
      <c r="H12" s="102">
        <f t="shared" ref="H12:H17" si="1">B12*12*1.302/1979</f>
        <v>426.97526152602325</v>
      </c>
      <c r="I12" s="102">
        <f>G12*H12</f>
        <v>402.37335360000003</v>
      </c>
    </row>
    <row r="13" spans="1:9" s="85" customFormat="1">
      <c r="A13" s="96" t="s">
        <v>65</v>
      </c>
      <c r="B13" s="97">
        <f>'[1]Тариф. с учетом повышения'!$Y$20</f>
        <v>41357.160000000003</v>
      </c>
      <c r="C13" s="98">
        <v>1</v>
      </c>
      <c r="D13" s="99">
        <f t="shared" ref="D13:D17" si="2">B13*C13</f>
        <v>41357.160000000003</v>
      </c>
      <c r="E13" s="100">
        <f t="shared" si="0"/>
        <v>1979</v>
      </c>
      <c r="F13" s="101">
        <v>4200</v>
      </c>
      <c r="G13" s="102">
        <f t="shared" ref="G13:G17" si="3">E13/F13</f>
        <v>0.47119047619047622</v>
      </c>
      <c r="H13" s="102">
        <f t="shared" si="1"/>
        <v>326.51049410813545</v>
      </c>
      <c r="I13" s="102">
        <f t="shared" ref="I13:I17" si="4">G13*H13</f>
        <v>153.84863520000002</v>
      </c>
    </row>
    <row r="14" spans="1:9" s="85" customFormat="1" ht="60">
      <c r="A14" s="96" t="s">
        <v>155</v>
      </c>
      <c r="B14" s="97">
        <f>'[2]Тариф. с учетом повышения'!$Y$16</f>
        <v>36603.360000000001</v>
      </c>
      <c r="C14" s="98">
        <v>1</v>
      </c>
      <c r="D14" s="99">
        <f t="shared" si="2"/>
        <v>36603.360000000001</v>
      </c>
      <c r="E14" s="100">
        <f t="shared" si="0"/>
        <v>1979</v>
      </c>
      <c r="F14" s="101">
        <v>4200</v>
      </c>
      <c r="G14" s="102">
        <f t="shared" si="3"/>
        <v>0.47119047619047622</v>
      </c>
      <c r="H14" s="102">
        <f t="shared" si="1"/>
        <v>288.97973554320367</v>
      </c>
      <c r="I14" s="102">
        <f t="shared" si="4"/>
        <v>136.16449920000002</v>
      </c>
    </row>
    <row r="15" spans="1:9" s="85" customFormat="1" ht="30">
      <c r="A15" s="96" t="s">
        <v>66</v>
      </c>
      <c r="B15" s="97">
        <f>'[1]Тариф. с учетом повышения'!$Y$25</f>
        <v>52251.285000000003</v>
      </c>
      <c r="C15" s="98">
        <v>2</v>
      </c>
      <c r="D15" s="99">
        <f t="shared" si="2"/>
        <v>104502.57</v>
      </c>
      <c r="E15" s="100">
        <f t="shared" si="0"/>
        <v>3958</v>
      </c>
      <c r="F15" s="101">
        <v>4200</v>
      </c>
      <c r="G15" s="102">
        <f t="shared" si="3"/>
        <v>0.94238095238095243</v>
      </c>
      <c r="H15" s="102">
        <f t="shared" si="1"/>
        <v>412.51848248610418</v>
      </c>
      <c r="I15" s="102">
        <f t="shared" si="4"/>
        <v>388.74956040000012</v>
      </c>
    </row>
    <row r="16" spans="1:9" s="85" customFormat="1" ht="45">
      <c r="A16" s="96" t="s">
        <v>68</v>
      </c>
      <c r="B16" s="97">
        <f>'[1]Тариф. с учетом повышения'!$Y$15</f>
        <v>63689.760000000002</v>
      </c>
      <c r="C16" s="98">
        <v>1</v>
      </c>
      <c r="D16" s="99">
        <f t="shared" si="2"/>
        <v>63689.760000000002</v>
      </c>
      <c r="E16" s="100">
        <f t="shared" si="0"/>
        <v>1979</v>
      </c>
      <c r="F16" s="101">
        <v>4200</v>
      </c>
      <c r="G16" s="102">
        <f t="shared" si="3"/>
        <v>0.47119047619047622</v>
      </c>
      <c r="H16" s="102">
        <f t="shared" si="1"/>
        <v>502.82405772612429</v>
      </c>
      <c r="I16" s="102">
        <f t="shared" si="4"/>
        <v>236.92590720000001</v>
      </c>
    </row>
    <row r="17" spans="1:9" s="85" customFormat="1">
      <c r="A17" s="103" t="s">
        <v>67</v>
      </c>
      <c r="B17" s="104">
        <f>'[1]Тариф. с учетом повышения'!$Y$29</f>
        <v>25357.440000000002</v>
      </c>
      <c r="C17" s="170">
        <v>4</v>
      </c>
      <c r="D17" s="99">
        <f t="shared" si="2"/>
        <v>101429.76000000001</v>
      </c>
      <c r="E17" s="100">
        <f t="shared" si="0"/>
        <v>7916</v>
      </c>
      <c r="F17" s="101">
        <v>4200</v>
      </c>
      <c r="G17" s="102">
        <f t="shared" si="3"/>
        <v>1.8847619047619049</v>
      </c>
      <c r="H17" s="102">
        <f t="shared" si="1"/>
        <v>200.19436208185957</v>
      </c>
      <c r="I17" s="102">
        <f t="shared" si="4"/>
        <v>377.31870720000012</v>
      </c>
    </row>
    <row r="18" spans="1:9" s="85" customFormat="1">
      <c r="A18" s="103"/>
      <c r="B18" s="104">
        <f>SUM(B12:B17)</f>
        <v>273341.44500000007</v>
      </c>
      <c r="C18" s="170">
        <f>SUM(C12:C17)</f>
        <v>11</v>
      </c>
      <c r="D18" s="97">
        <f>SUM(D12:D17)</f>
        <v>455747.49</v>
      </c>
      <c r="E18" s="100"/>
      <c r="F18" s="101"/>
      <c r="G18" s="102">
        <f>G12+G13+G14+G15+G16+G17</f>
        <v>5.1830952380952384</v>
      </c>
      <c r="H18" s="102"/>
      <c r="I18" s="102"/>
    </row>
    <row r="19" spans="1:9" s="85" customFormat="1">
      <c r="A19" s="251" t="s">
        <v>21</v>
      </c>
      <c r="B19" s="251"/>
      <c r="C19" s="251"/>
      <c r="D19" s="251"/>
      <c r="E19" s="251"/>
      <c r="F19" s="251"/>
      <c r="G19" s="251"/>
      <c r="H19" s="251"/>
      <c r="I19" s="105">
        <f>SUM(I12:I17)</f>
        <v>1695.3806628000002</v>
      </c>
    </row>
    <row r="20" spans="1:9" s="85" customFormat="1"/>
    <row r="21" spans="1:9" s="85" customFormat="1">
      <c r="B21" s="91"/>
      <c r="C21" s="91"/>
      <c r="D21" s="91"/>
    </row>
    <row r="22" spans="1:9">
      <c r="A22" s="85"/>
      <c r="B22" s="85"/>
      <c r="C22" s="91"/>
      <c r="D22" s="91"/>
      <c r="E22" s="85"/>
      <c r="F22" s="85"/>
      <c r="G22" s="85"/>
      <c r="H22" s="85"/>
    </row>
    <row r="23" spans="1:9">
      <c r="A23" s="85"/>
      <c r="B23" s="85">
        <v>211</v>
      </c>
      <c r="C23" s="91">
        <f>(D18*12*1.25)+1090905.24</f>
        <v>7927117.5899999999</v>
      </c>
      <c r="D23" s="91"/>
      <c r="E23" s="85"/>
      <c r="F23" s="85"/>
      <c r="G23" s="85"/>
      <c r="H23" s="85"/>
    </row>
    <row r="24" spans="1:9">
      <c r="A24" s="85"/>
      <c r="B24" s="85">
        <v>213</v>
      </c>
      <c r="C24" s="91">
        <f>C23*30.2%</f>
        <v>2393989.5121800001</v>
      </c>
      <c r="D24" s="91"/>
      <c r="E24" s="85"/>
      <c r="F24" s="91"/>
      <c r="G24" s="85"/>
      <c r="H24" s="85"/>
    </row>
    <row r="25" spans="1:9">
      <c r="A25" s="85"/>
      <c r="B25" s="85" t="s">
        <v>116</v>
      </c>
      <c r="C25" s="91">
        <f>C23+C24</f>
        <v>10321107.10218</v>
      </c>
      <c r="D25" s="91"/>
      <c r="E25" s="91"/>
      <c r="F25" s="91"/>
      <c r="G25" s="91">
        <f>(D18-D17)*12</f>
        <v>4251812.76</v>
      </c>
      <c r="H25" s="85"/>
    </row>
    <row r="26" spans="1:9">
      <c r="A26" s="85"/>
      <c r="B26" s="85"/>
      <c r="C26" s="85"/>
      <c r="D26" s="85"/>
      <c r="E26" s="85"/>
      <c r="F26" s="85"/>
      <c r="G26" s="85"/>
      <c r="H26" s="85"/>
    </row>
    <row r="27" spans="1:9" ht="14.25" customHeight="1">
      <c r="A27" s="85"/>
      <c r="B27" s="85"/>
      <c r="C27" s="85"/>
      <c r="D27" s="85"/>
      <c r="E27" s="85"/>
      <c r="F27" s="85"/>
      <c r="G27" s="85"/>
      <c r="H27" s="85"/>
    </row>
    <row r="28" spans="1:9">
      <c r="A28" s="85"/>
      <c r="B28" s="85"/>
      <c r="C28" s="85"/>
      <c r="D28" s="85"/>
      <c r="E28" s="85"/>
      <c r="F28" s="85"/>
      <c r="G28" s="85"/>
      <c r="H28" s="85"/>
    </row>
  </sheetData>
  <mergeCells count="18">
    <mergeCell ref="E10:E11"/>
    <mergeCell ref="F10:F11"/>
    <mergeCell ref="A1:I1"/>
    <mergeCell ref="G10:G11"/>
    <mergeCell ref="I10:I11"/>
    <mergeCell ref="I7:I9"/>
    <mergeCell ref="A19:H19"/>
    <mergeCell ref="H10:H11"/>
    <mergeCell ref="E7:E9"/>
    <mergeCell ref="F7:F9"/>
    <mergeCell ref="H7:H9"/>
    <mergeCell ref="A7:A9"/>
    <mergeCell ref="B7:B9"/>
    <mergeCell ref="C7:C9"/>
    <mergeCell ref="G7:G9"/>
    <mergeCell ref="A10:A11"/>
    <mergeCell ref="B10:B11"/>
    <mergeCell ref="C10:C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4"/>
  <sheetViews>
    <sheetView workbookViewId="0">
      <selection activeCell="G22" sqref="G22"/>
    </sheetView>
  </sheetViews>
  <sheetFormatPr defaultRowHeight="15"/>
  <cols>
    <col min="1" max="1" width="21.42578125" customWidth="1"/>
    <col min="2" max="2" width="16.5703125" customWidth="1"/>
    <col min="3" max="3" width="21.5703125" customWidth="1"/>
    <col min="4" max="4" width="16.140625" customWidth="1"/>
    <col min="5" max="5" width="18.7109375" customWidth="1"/>
    <col min="6" max="6" width="17.7109375" customWidth="1"/>
    <col min="7" max="7" width="22.42578125" customWidth="1"/>
    <col min="8" max="8" width="24.42578125" customWidth="1"/>
    <col min="9" max="9" width="18.85546875" customWidth="1"/>
  </cols>
  <sheetData>
    <row r="1" spans="1:11" ht="15.75">
      <c r="A1" s="248" t="s">
        <v>14</v>
      </c>
      <c r="B1" s="248"/>
      <c r="C1" s="248"/>
      <c r="D1" s="248"/>
      <c r="E1" s="248"/>
      <c r="F1" s="248"/>
      <c r="G1" s="248"/>
      <c r="H1" s="248"/>
      <c r="I1" s="248"/>
      <c r="J1" s="85"/>
      <c r="K1" s="85"/>
    </row>
    <row r="2" spans="1:1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>
      <c r="A3" s="85" t="s">
        <v>118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>
      <c r="A4" s="95" t="s">
        <v>257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>
      <c r="A5" s="95" t="s">
        <v>271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1">
      <c r="A6" s="95" t="s">
        <v>161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1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ht="75" customHeight="1">
      <c r="A8" s="250" t="s">
        <v>15</v>
      </c>
      <c r="B8" s="250" t="s">
        <v>16</v>
      </c>
      <c r="C8" s="250" t="s">
        <v>17</v>
      </c>
      <c r="D8" s="170" t="s">
        <v>124</v>
      </c>
      <c r="E8" s="250" t="s">
        <v>22</v>
      </c>
      <c r="F8" s="250" t="s">
        <v>234</v>
      </c>
      <c r="G8" s="250" t="s">
        <v>18</v>
      </c>
      <c r="H8" s="252" t="s">
        <v>233</v>
      </c>
      <c r="I8" s="250" t="s">
        <v>19</v>
      </c>
      <c r="J8" s="85"/>
      <c r="K8" s="85"/>
    </row>
    <row r="9" spans="1:11" ht="8.25" hidden="1" customHeight="1">
      <c r="A9" s="250"/>
      <c r="B9" s="250"/>
      <c r="C9" s="250"/>
      <c r="D9" s="170"/>
      <c r="E9" s="250"/>
      <c r="F9" s="250"/>
      <c r="G9" s="250"/>
      <c r="H9" s="253"/>
      <c r="I9" s="250"/>
      <c r="J9" s="85"/>
      <c r="K9" s="85"/>
    </row>
    <row r="10" spans="1:11" hidden="1">
      <c r="A10" s="250"/>
      <c r="B10" s="250"/>
      <c r="C10" s="250"/>
      <c r="D10" s="170"/>
      <c r="E10" s="250"/>
      <c r="F10" s="250"/>
      <c r="G10" s="250"/>
      <c r="H10" s="254"/>
      <c r="I10" s="250"/>
      <c r="J10" s="85"/>
      <c r="K10" s="85"/>
    </row>
    <row r="11" spans="1:11">
      <c r="A11" s="249">
        <v>1</v>
      </c>
      <c r="B11" s="249">
        <v>2</v>
      </c>
      <c r="C11" s="249">
        <v>3</v>
      </c>
      <c r="D11" s="255" t="s">
        <v>125</v>
      </c>
      <c r="E11" s="249" t="s">
        <v>255</v>
      </c>
      <c r="F11" s="249">
        <v>5</v>
      </c>
      <c r="G11" s="249" t="s">
        <v>20</v>
      </c>
      <c r="H11" s="249" t="s">
        <v>256</v>
      </c>
      <c r="I11" s="249" t="s">
        <v>258</v>
      </c>
      <c r="J11" s="85"/>
      <c r="K11" s="85"/>
    </row>
    <row r="12" spans="1:11" ht="14.25" customHeight="1">
      <c r="A12" s="249"/>
      <c r="B12" s="249"/>
      <c r="C12" s="249"/>
      <c r="D12" s="256"/>
      <c r="E12" s="249"/>
      <c r="F12" s="249"/>
      <c r="G12" s="249"/>
      <c r="H12" s="249"/>
      <c r="I12" s="249"/>
      <c r="J12" s="85"/>
      <c r="K12" s="85"/>
    </row>
    <row r="13" spans="1:11" s="85" customFormat="1" ht="30">
      <c r="A13" s="96" t="s">
        <v>120</v>
      </c>
      <c r="B13" s="97">
        <f>'[1]Тариф. с учетом повышения'!$Y$17</f>
        <v>63689.760000000002</v>
      </c>
      <c r="C13" s="98">
        <v>0.5</v>
      </c>
      <c r="D13" s="99">
        <f>B13*C13</f>
        <v>31844.880000000001</v>
      </c>
      <c r="E13" s="100">
        <f>C13*1979</f>
        <v>989.5</v>
      </c>
      <c r="F13" s="101">
        <v>4200</v>
      </c>
      <c r="G13" s="102">
        <f>E13/F13</f>
        <v>0.23559523809523811</v>
      </c>
      <c r="H13" s="102">
        <f>B13*12*1.302/1979</f>
        <v>502.82405772612429</v>
      </c>
      <c r="I13" s="102">
        <f>G13*H13</f>
        <v>118.46295360000001</v>
      </c>
    </row>
    <row r="14" spans="1:11" s="85" customFormat="1" ht="30">
      <c r="A14" s="96" t="s">
        <v>121</v>
      </c>
      <c r="B14" s="97">
        <f>'[1]Тариф. с учетом повышения'!$Y$12</f>
        <v>60658.474999999999</v>
      </c>
      <c r="C14" s="98">
        <v>1</v>
      </c>
      <c r="D14" s="99">
        <f t="shared" ref="D14:D16" si="0">B14*C14</f>
        <v>60658.474999999999</v>
      </c>
      <c r="E14" s="100">
        <f>C14*1979</f>
        <v>1979</v>
      </c>
      <c r="F14" s="101">
        <v>4200</v>
      </c>
      <c r="G14" s="102">
        <f t="shared" ref="G14:G16" si="1">E14/F14</f>
        <v>0.47119047619047622</v>
      </c>
      <c r="H14" s="102">
        <f>B14*12*1.302/1979</f>
        <v>478.89237665487616</v>
      </c>
      <c r="I14" s="102">
        <f t="shared" ref="I14:I16" si="2">G14*H14</f>
        <v>225.64952700000001</v>
      </c>
    </row>
    <row r="15" spans="1:11" s="85" customFormat="1">
      <c r="A15" s="96" t="s">
        <v>122</v>
      </c>
      <c r="B15" s="97">
        <f>'[1]Тариф. с учетом повышения'!$Y$18</f>
        <v>51961.56</v>
      </c>
      <c r="C15" s="98">
        <v>1</v>
      </c>
      <c r="D15" s="99">
        <f t="shared" si="0"/>
        <v>51961.56</v>
      </c>
      <c r="E15" s="100">
        <f>C15*1979</f>
        <v>1979</v>
      </c>
      <c r="F15" s="101">
        <v>4200</v>
      </c>
      <c r="G15" s="102">
        <f t="shared" si="1"/>
        <v>0.47119047619047622</v>
      </c>
      <c r="H15" s="102">
        <f>B15*12*1.302/1979</f>
        <v>410.23113362304196</v>
      </c>
      <c r="I15" s="102">
        <f t="shared" si="2"/>
        <v>193.29700320000001</v>
      </c>
    </row>
    <row r="16" spans="1:11" s="85" customFormat="1" ht="30">
      <c r="A16" s="96" t="s">
        <v>123</v>
      </c>
      <c r="B16" s="97">
        <f>'[1]Тариф. с учетом повышения'!$Y$24</f>
        <v>54523.08</v>
      </c>
      <c r="C16" s="98">
        <v>1</v>
      </c>
      <c r="D16" s="99">
        <f t="shared" si="0"/>
        <v>54523.08</v>
      </c>
      <c r="E16" s="100">
        <f>C16*1979</f>
        <v>1979</v>
      </c>
      <c r="F16" s="101">
        <v>4200</v>
      </c>
      <c r="G16" s="102">
        <f t="shared" si="1"/>
        <v>0.47119047619047622</v>
      </c>
      <c r="H16" s="102">
        <f>B16*12*1.302/1979</f>
        <v>430.45406868115208</v>
      </c>
      <c r="I16" s="102">
        <f t="shared" si="2"/>
        <v>202.82585760000001</v>
      </c>
    </row>
    <row r="17" spans="1:11" s="85" customFormat="1">
      <c r="A17" s="103"/>
      <c r="B17" s="104">
        <f>SUM(B13:B16)</f>
        <v>230832.875</v>
      </c>
      <c r="C17" s="170">
        <f>SUM(C13:C16)</f>
        <v>3.5</v>
      </c>
      <c r="D17" s="97">
        <f>SUM(D13:D16)</f>
        <v>198987.995</v>
      </c>
      <c r="E17" s="100"/>
      <c r="F17" s="101"/>
      <c r="G17" s="102">
        <f>G13+G14+G15+G16</f>
        <v>1.6491666666666667</v>
      </c>
      <c r="H17" s="102"/>
      <c r="I17" s="102"/>
    </row>
    <row r="18" spans="1:11" s="85" customFormat="1">
      <c r="A18" s="251" t="s">
        <v>21</v>
      </c>
      <c r="B18" s="251"/>
      <c r="C18" s="251"/>
      <c r="D18" s="251"/>
      <c r="E18" s="251"/>
      <c r="F18" s="251"/>
      <c r="G18" s="251"/>
      <c r="H18" s="251"/>
      <c r="I18" s="105">
        <f>SUM(I13:I16)</f>
        <v>740.23534140000015</v>
      </c>
    </row>
    <row r="19" spans="1:11" s="85" customFormat="1">
      <c r="B19" s="91"/>
    </row>
    <row r="20" spans="1:11">
      <c r="A20" s="85"/>
      <c r="B20" s="91"/>
      <c r="C20" s="91"/>
      <c r="D20" s="91"/>
      <c r="E20" s="85"/>
      <c r="F20" s="85"/>
      <c r="G20" s="85"/>
      <c r="H20" s="85"/>
      <c r="I20" s="85"/>
      <c r="J20" s="85"/>
      <c r="K20" s="85"/>
    </row>
    <row r="21" spans="1:11">
      <c r="A21" s="85"/>
      <c r="B21" s="85"/>
      <c r="C21" s="91"/>
      <c r="D21" s="91"/>
      <c r="E21" s="85"/>
      <c r="F21" s="85"/>
      <c r="G21" s="85"/>
      <c r="H21" s="85"/>
      <c r="I21" s="85"/>
      <c r="J21" s="85"/>
      <c r="K21" s="85"/>
    </row>
    <row r="22" spans="1:11">
      <c r="A22" s="85"/>
      <c r="B22" s="85">
        <v>211</v>
      </c>
      <c r="C22" s="91">
        <f>(D17*12*1.25)+909222.54</f>
        <v>3894042.4649999999</v>
      </c>
      <c r="D22" s="91"/>
      <c r="E22" s="85"/>
      <c r="F22" s="85"/>
      <c r="G22" s="85"/>
      <c r="H22" s="85"/>
      <c r="I22" s="85"/>
      <c r="J22" s="85"/>
      <c r="K22" s="85"/>
    </row>
    <row r="23" spans="1:11">
      <c r="A23" s="85"/>
      <c r="B23" s="85">
        <v>213</v>
      </c>
      <c r="C23" s="91">
        <f>C22*30.2%</f>
        <v>1176000.8244299998</v>
      </c>
      <c r="D23" s="91"/>
      <c r="E23" s="85"/>
      <c r="F23" s="85"/>
      <c r="G23" s="85"/>
      <c r="H23" s="85"/>
      <c r="I23" s="85"/>
      <c r="J23" s="85"/>
      <c r="K23" s="85"/>
    </row>
    <row r="24" spans="1:11">
      <c r="B24" t="s">
        <v>116</v>
      </c>
      <c r="C24" s="65">
        <f>SUM(C22:C23)</f>
        <v>5070043.2894299999</v>
      </c>
      <c r="D24" s="65"/>
    </row>
  </sheetData>
  <mergeCells count="19">
    <mergeCell ref="A1:I1"/>
    <mergeCell ref="B8:B10"/>
    <mergeCell ref="C8:C10"/>
    <mergeCell ref="E8:E10"/>
    <mergeCell ref="F8:F10"/>
    <mergeCell ref="G8:G10"/>
    <mergeCell ref="A8:A10"/>
    <mergeCell ref="D11:D12"/>
    <mergeCell ref="A18:H18"/>
    <mergeCell ref="I8:I10"/>
    <mergeCell ref="A11:A12"/>
    <mergeCell ref="B11:B12"/>
    <mergeCell ref="C11:C12"/>
    <mergeCell ref="E11:E12"/>
    <mergeCell ref="F11:F12"/>
    <mergeCell ref="G11:G12"/>
    <mergeCell ref="H11:H12"/>
    <mergeCell ref="I11:I12"/>
    <mergeCell ref="H8:H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D6" sqref="D6"/>
    </sheetView>
  </sheetViews>
  <sheetFormatPr defaultRowHeight="15"/>
  <cols>
    <col min="1" max="1" width="26.140625" customWidth="1"/>
    <col min="2" max="2" width="21.7109375" customWidth="1"/>
    <col min="3" max="3" width="34.28515625" customWidth="1"/>
    <col min="4" max="4" width="14.7109375" customWidth="1"/>
  </cols>
  <sheetData>
    <row r="1" spans="1:5" s="194" customFormat="1" ht="33.75" customHeight="1">
      <c r="A1" s="257" t="s">
        <v>61</v>
      </c>
      <c r="B1" s="257"/>
      <c r="C1" s="257"/>
      <c r="D1" s="257"/>
    </row>
    <row r="2" spans="1:5" s="194" customFormat="1" ht="33.75" customHeight="1">
      <c r="A2" s="257" t="s">
        <v>251</v>
      </c>
      <c r="B2" s="257"/>
      <c r="C2" s="257"/>
      <c r="D2" s="257"/>
    </row>
    <row r="3" spans="1:5" s="174" customFormat="1" ht="41.25" customHeight="1">
      <c r="A3" s="258" t="s">
        <v>247</v>
      </c>
      <c r="B3" s="258" t="s">
        <v>250</v>
      </c>
      <c r="C3" s="258" t="s">
        <v>248</v>
      </c>
      <c r="D3" s="258" t="s">
        <v>250</v>
      </c>
      <c r="E3" s="195"/>
    </row>
    <row r="4" spans="1:5" s="174" customFormat="1" ht="30" customHeight="1">
      <c r="A4" s="259"/>
      <c r="B4" s="259"/>
      <c r="C4" s="259"/>
      <c r="D4" s="259"/>
      <c r="E4" s="195"/>
    </row>
    <row r="5" spans="1:5" s="174" customFormat="1" ht="30" customHeight="1">
      <c r="A5" s="196" t="s">
        <v>249</v>
      </c>
      <c r="B5" s="189">
        <f>'[1]КВР 200'!$G$232</f>
        <v>255800</v>
      </c>
      <c r="C5" s="196" t="s">
        <v>249</v>
      </c>
      <c r="D5" s="189">
        <v>0</v>
      </c>
      <c r="E5" s="195"/>
    </row>
    <row r="6" spans="1:5" s="174" customFormat="1" ht="23.25" customHeight="1">
      <c r="A6" s="196" t="s">
        <v>252</v>
      </c>
      <c r="B6" s="189">
        <v>0</v>
      </c>
      <c r="C6" s="196" t="s">
        <v>252</v>
      </c>
      <c r="D6" s="189">
        <f>'мат запасы и ОЦДИ работы'!C8</f>
        <v>100000</v>
      </c>
      <c r="E6" s="195"/>
    </row>
    <row r="7" spans="1:5" s="174" customFormat="1" ht="59.25" customHeight="1">
      <c r="A7" s="196" t="s">
        <v>253</v>
      </c>
      <c r="B7" s="191">
        <f>'иные затраты'!D16</f>
        <v>1031853.33</v>
      </c>
      <c r="C7" s="14" t="s">
        <v>253</v>
      </c>
      <c r="D7" s="191">
        <f>'иные затраты Работы'!D16</f>
        <v>492804</v>
      </c>
      <c r="E7" s="195"/>
    </row>
    <row r="8" spans="1:5" s="174" customFormat="1" ht="30" customHeight="1">
      <c r="A8" s="196" t="s">
        <v>33</v>
      </c>
      <c r="B8" s="191">
        <f>'комунальные услуги'!D15</f>
        <v>7142334.8339972012</v>
      </c>
      <c r="C8" s="196" t="s">
        <v>33</v>
      </c>
      <c r="D8" s="191">
        <f>'ком.услуги работы'!D32</f>
        <v>449160.22</v>
      </c>
      <c r="E8" s="195"/>
    </row>
    <row r="9" spans="1:5" s="174" customFormat="1" ht="44.25" customHeight="1">
      <c r="A9" s="197" t="s">
        <v>48</v>
      </c>
      <c r="B9" s="64">
        <f>'221, на содер ОЦДИ'!D17</f>
        <v>186572.24</v>
      </c>
      <c r="C9" s="197" t="s">
        <v>48</v>
      </c>
      <c r="D9" s="6">
        <f>'221, на содер ОЦДИ работы'!D10</f>
        <v>2599.13</v>
      </c>
      <c r="E9" s="195"/>
    </row>
    <row r="10" spans="1:5" s="174" customFormat="1" ht="30.75" customHeight="1">
      <c r="A10" s="196" t="s">
        <v>51</v>
      </c>
      <c r="B10" s="193">
        <v>13916.9</v>
      </c>
      <c r="C10" s="14" t="s">
        <v>57</v>
      </c>
      <c r="D10" s="191">
        <f>'общехоз нужды (раб)'!D8</f>
        <v>36990</v>
      </c>
      <c r="E10" s="195"/>
    </row>
    <row r="11" spans="1:5" s="174" customFormat="1" ht="30.75" customHeight="1">
      <c r="A11" s="196" t="s">
        <v>57</v>
      </c>
      <c r="B11" s="191">
        <f>'общехоз нужды'!D8</f>
        <v>243089.4</v>
      </c>
      <c r="C11" s="14"/>
      <c r="D11" s="192"/>
      <c r="E11" s="195"/>
    </row>
    <row r="12" spans="1:5" s="174" customFormat="1"/>
    <row r="13" spans="1:5" s="174" customFormat="1"/>
    <row r="14" spans="1:5" s="174" customFormat="1"/>
  </sheetData>
  <mergeCells count="6">
    <mergeCell ref="A1:D1"/>
    <mergeCell ref="A2:D2"/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D8" sqref="D8"/>
    </sheetView>
  </sheetViews>
  <sheetFormatPr defaultRowHeight="15"/>
  <cols>
    <col min="1" max="1" width="21.140625" customWidth="1"/>
    <col min="2" max="2" width="14.42578125" customWidth="1"/>
    <col min="3" max="3" width="17.85546875" customWidth="1"/>
    <col min="4" max="4" width="14.7109375" customWidth="1"/>
    <col min="5" max="5" width="16" customWidth="1"/>
    <col min="6" max="6" width="15.7109375" customWidth="1"/>
    <col min="7" max="7" width="15.85546875" customWidth="1"/>
    <col min="8" max="8" width="19.5703125" customWidth="1"/>
  </cols>
  <sheetData>
    <row r="1" spans="1:9" s="85" customFormat="1">
      <c r="A1" s="85" t="s">
        <v>118</v>
      </c>
    </row>
    <row r="2" spans="1:9" s="85" customFormat="1" ht="15.75" customHeight="1">
      <c r="A2" s="260" t="s">
        <v>23</v>
      </c>
      <c r="B2" s="260"/>
      <c r="C2" s="260"/>
      <c r="D2" s="260"/>
      <c r="E2" s="260"/>
      <c r="F2" s="260"/>
      <c r="G2" s="260"/>
      <c r="H2" s="260"/>
      <c r="I2" s="133"/>
    </row>
    <row r="3" spans="1:9" s="85" customFormat="1" ht="15" customHeight="1">
      <c r="A3" s="260"/>
      <c r="B3" s="260"/>
      <c r="C3" s="260"/>
      <c r="D3" s="260"/>
      <c r="E3" s="260"/>
      <c r="F3" s="260"/>
      <c r="G3" s="260"/>
      <c r="H3" s="260"/>
      <c r="I3" s="133"/>
    </row>
    <row r="4" spans="1:9" s="85" customFormat="1" ht="15.75" thickBot="1"/>
    <row r="5" spans="1:9" s="85" customFormat="1" ht="65.25" customHeight="1" thickBot="1">
      <c r="A5" s="134" t="s">
        <v>24</v>
      </c>
      <c r="B5" s="134" t="s">
        <v>25</v>
      </c>
      <c r="C5" s="134" t="s">
        <v>26</v>
      </c>
      <c r="D5" s="134" t="s">
        <v>259</v>
      </c>
      <c r="E5" s="134" t="s">
        <v>27</v>
      </c>
      <c r="F5" s="134" t="s">
        <v>31</v>
      </c>
      <c r="G5" s="134" t="s">
        <v>32</v>
      </c>
      <c r="H5" s="134" t="s">
        <v>28</v>
      </c>
    </row>
    <row r="6" spans="1:9" s="85" customFormat="1" ht="15.75" thickBot="1">
      <c r="A6" s="135">
        <v>1</v>
      </c>
      <c r="B6" s="135">
        <v>2</v>
      </c>
      <c r="C6" s="135">
        <v>3</v>
      </c>
      <c r="D6" s="135">
        <v>4</v>
      </c>
      <c r="E6" s="135" t="s">
        <v>231</v>
      </c>
      <c r="F6" s="135">
        <v>6</v>
      </c>
      <c r="G6" s="135">
        <v>7</v>
      </c>
      <c r="H6" s="135" t="s">
        <v>232</v>
      </c>
    </row>
    <row r="7" spans="1:9" s="85" customFormat="1" ht="29.25" thickBot="1">
      <c r="A7" s="136" t="s">
        <v>29</v>
      </c>
      <c r="B7" s="137">
        <v>310</v>
      </c>
      <c r="C7" s="138">
        <f>'[1]КВР 200'!$G$232</f>
        <v>255800</v>
      </c>
      <c r="D7" s="139">
        <v>4200</v>
      </c>
      <c r="E7" s="137">
        <f>C7/D7</f>
        <v>60.904761904761905</v>
      </c>
      <c r="F7" s="137">
        <v>0</v>
      </c>
      <c r="G7" s="140">
        <v>0</v>
      </c>
      <c r="H7" s="163">
        <v>0</v>
      </c>
    </row>
    <row r="8" spans="1:9" s="85" customFormat="1" ht="28.5">
      <c r="A8" s="136" t="s">
        <v>29</v>
      </c>
      <c r="B8" s="137">
        <v>226</v>
      </c>
      <c r="C8" s="138">
        <v>0</v>
      </c>
      <c r="D8" s="139">
        <v>4200</v>
      </c>
      <c r="E8" s="137">
        <f>C8/D8</f>
        <v>0</v>
      </c>
      <c r="F8" s="137">
        <v>0</v>
      </c>
      <c r="G8" s="140">
        <v>0</v>
      </c>
      <c r="H8" s="141">
        <f>E8*G8</f>
        <v>0</v>
      </c>
    </row>
    <row r="9" spans="1:9" s="85" customFormat="1" ht="15.75" thickBot="1">
      <c r="A9" s="261" t="s">
        <v>30</v>
      </c>
      <c r="B9" s="262"/>
      <c r="C9" s="262"/>
      <c r="D9" s="262"/>
      <c r="E9" s="262"/>
      <c r="F9" s="262"/>
      <c r="G9" s="263"/>
      <c r="H9" s="190"/>
    </row>
    <row r="10" spans="1:9" s="85" customFormat="1">
      <c r="C10" s="91">
        <f>C7+C8</f>
        <v>255800</v>
      </c>
    </row>
    <row r="11" spans="1:9" s="85" customFormat="1"/>
    <row r="12" spans="1:9" s="80" customFormat="1"/>
    <row r="13" spans="1:9" s="80" customFormat="1"/>
  </sheetData>
  <mergeCells count="2">
    <mergeCell ref="A2:H3"/>
    <mergeCell ref="A9:G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M32" sqref="M32"/>
    </sheetView>
  </sheetViews>
  <sheetFormatPr defaultRowHeight="15"/>
  <cols>
    <col min="1" max="1" width="21.140625" customWidth="1"/>
    <col min="2" max="2" width="14.42578125" customWidth="1"/>
    <col min="3" max="3" width="17.85546875" customWidth="1"/>
    <col min="4" max="4" width="14.7109375" customWidth="1"/>
    <col min="5" max="5" width="16" customWidth="1"/>
    <col min="6" max="6" width="15.7109375" customWidth="1"/>
    <col min="7" max="7" width="15.85546875" customWidth="1"/>
    <col min="8" max="8" width="19.5703125" customWidth="1"/>
  </cols>
  <sheetData>
    <row r="1" spans="1:9" s="85" customFormat="1">
      <c r="A1" s="85" t="s">
        <v>118</v>
      </c>
    </row>
    <row r="2" spans="1:9" s="85" customFormat="1" ht="15.75" customHeight="1">
      <c r="A2" s="260" t="s">
        <v>23</v>
      </c>
      <c r="B2" s="260"/>
      <c r="C2" s="260"/>
      <c r="D2" s="260"/>
      <c r="E2" s="260"/>
      <c r="F2" s="260"/>
      <c r="G2" s="260"/>
      <c r="H2" s="260"/>
      <c r="I2" s="133"/>
    </row>
    <row r="3" spans="1:9" s="85" customFormat="1" ht="15" customHeight="1">
      <c r="A3" s="260"/>
      <c r="B3" s="260"/>
      <c r="C3" s="260"/>
      <c r="D3" s="260"/>
      <c r="E3" s="260"/>
      <c r="F3" s="260"/>
      <c r="G3" s="260"/>
      <c r="H3" s="260"/>
      <c r="I3" s="133"/>
    </row>
    <row r="4" spans="1:9" s="85" customFormat="1" ht="15.75" thickBot="1"/>
    <row r="5" spans="1:9" s="85" customFormat="1" ht="65.25" customHeight="1" thickBot="1">
      <c r="A5" s="134" t="s">
        <v>24</v>
      </c>
      <c r="B5" s="134" t="s">
        <v>25</v>
      </c>
      <c r="C5" s="134" t="s">
        <v>26</v>
      </c>
      <c r="D5" s="134" t="s">
        <v>265</v>
      </c>
      <c r="E5" s="134" t="s">
        <v>27</v>
      </c>
      <c r="F5" s="134" t="s">
        <v>31</v>
      </c>
      <c r="G5" s="134" t="s">
        <v>32</v>
      </c>
      <c r="H5" s="134" t="s">
        <v>28</v>
      </c>
    </row>
    <row r="6" spans="1:9" s="85" customFormat="1" ht="15.75" thickBot="1">
      <c r="A6" s="135">
        <v>1</v>
      </c>
      <c r="B6" s="135">
        <v>2</v>
      </c>
      <c r="C6" s="135">
        <v>3</v>
      </c>
      <c r="D6" s="135">
        <v>4</v>
      </c>
      <c r="E6" s="135" t="s">
        <v>231</v>
      </c>
      <c r="F6" s="135">
        <v>6</v>
      </c>
      <c r="G6" s="135">
        <v>7</v>
      </c>
      <c r="H6" s="135" t="s">
        <v>232</v>
      </c>
    </row>
    <row r="7" spans="1:9" s="85" customFormat="1" ht="29.25" thickBot="1">
      <c r="A7" s="136" t="s">
        <v>29</v>
      </c>
      <c r="B7" s="137">
        <v>310</v>
      </c>
      <c r="C7" s="138">
        <v>0</v>
      </c>
      <c r="D7" s="139">
        <v>4200</v>
      </c>
      <c r="E7" s="137">
        <v>0</v>
      </c>
      <c r="F7" s="137">
        <v>0</v>
      </c>
      <c r="G7" s="140">
        <v>0</v>
      </c>
      <c r="H7" s="141">
        <v>0</v>
      </c>
    </row>
    <row r="8" spans="1:9" s="85" customFormat="1" ht="28.5">
      <c r="A8" s="136" t="s">
        <v>29</v>
      </c>
      <c r="B8" s="137">
        <v>226</v>
      </c>
      <c r="C8" s="189">
        <v>100000</v>
      </c>
      <c r="D8" s="139">
        <v>4200</v>
      </c>
      <c r="E8" s="137">
        <f>C8/D8</f>
        <v>23.80952380952381</v>
      </c>
      <c r="F8" s="137">
        <v>0</v>
      </c>
      <c r="G8" s="140">
        <v>0</v>
      </c>
      <c r="H8" s="141">
        <v>0</v>
      </c>
    </row>
    <row r="9" spans="1:9" s="85" customFormat="1" ht="15.75" thickBot="1">
      <c r="A9" s="261" t="s">
        <v>30</v>
      </c>
      <c r="B9" s="262"/>
      <c r="C9" s="262"/>
      <c r="D9" s="262"/>
      <c r="E9" s="262"/>
      <c r="F9" s="262"/>
      <c r="G9" s="263"/>
      <c r="H9" s="190"/>
    </row>
    <row r="10" spans="1:9" s="85" customFormat="1">
      <c r="C10" s="91">
        <f>'[3]КВР 200'!$G$174</f>
        <v>100000</v>
      </c>
    </row>
    <row r="11" spans="1:9" s="85" customFormat="1"/>
    <row r="12" spans="1:9" s="80" customFormat="1"/>
    <row r="13" spans="1:9" s="80" customFormat="1"/>
  </sheetData>
  <mergeCells count="2">
    <mergeCell ref="A9:G9"/>
    <mergeCell ref="A2:H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F3" sqref="F3"/>
    </sheetView>
  </sheetViews>
  <sheetFormatPr defaultRowHeight="15"/>
  <cols>
    <col min="1" max="1" width="29.140625" customWidth="1"/>
    <col min="2" max="2" width="15.5703125" customWidth="1"/>
    <col min="3" max="4" width="15.85546875" customWidth="1"/>
    <col min="5" max="5" width="23.7109375" customWidth="1"/>
    <col min="6" max="6" width="18.5703125" customWidth="1"/>
    <col min="7" max="7" width="15.140625" customWidth="1"/>
    <col min="8" max="8" width="16.7109375" customWidth="1"/>
    <col min="9" max="9" width="17.7109375" customWidth="1"/>
  </cols>
  <sheetData>
    <row r="1" spans="1:9" ht="18.75">
      <c r="A1" s="231" t="s">
        <v>102</v>
      </c>
      <c r="B1" s="231"/>
      <c r="C1" s="231"/>
      <c r="D1" s="231"/>
      <c r="E1" s="231"/>
      <c r="F1" s="231"/>
      <c r="G1" s="231"/>
      <c r="H1" s="231"/>
      <c r="I1" s="231"/>
    </row>
    <row r="3" spans="1:9" ht="53.25" customHeight="1">
      <c r="A3" s="17" t="s">
        <v>45</v>
      </c>
      <c r="B3" s="17" t="s">
        <v>25</v>
      </c>
      <c r="C3" s="17" t="s">
        <v>35</v>
      </c>
      <c r="D3" s="35" t="s">
        <v>113</v>
      </c>
      <c r="E3" s="17" t="s">
        <v>36</v>
      </c>
      <c r="F3" s="17" t="s">
        <v>87</v>
      </c>
      <c r="G3" s="17" t="s">
        <v>46</v>
      </c>
      <c r="H3" s="17" t="s">
        <v>38</v>
      </c>
      <c r="I3" s="17" t="s">
        <v>19</v>
      </c>
    </row>
    <row r="4" spans="1:9">
      <c r="A4" s="16">
        <v>1</v>
      </c>
      <c r="B4" s="16">
        <v>2</v>
      </c>
      <c r="C4" s="16">
        <v>3</v>
      </c>
      <c r="D4" s="34"/>
      <c r="E4" s="16">
        <v>4</v>
      </c>
      <c r="F4" s="16">
        <v>5</v>
      </c>
      <c r="G4" s="16" t="s">
        <v>43</v>
      </c>
      <c r="H4" s="16">
        <v>7</v>
      </c>
      <c r="I4" s="16" t="s">
        <v>44</v>
      </c>
    </row>
    <row r="5" spans="1:9" s="87" customFormat="1" ht="17.25" customHeight="1">
      <c r="A5" s="167" t="s">
        <v>104</v>
      </c>
      <c r="B5" s="162" t="s">
        <v>95</v>
      </c>
      <c r="C5" s="162">
        <v>2</v>
      </c>
      <c r="D5" s="83">
        <f>'[1]КВР 100'!$G$52</f>
        <v>68000</v>
      </c>
      <c r="E5" s="83">
        <v>4200</v>
      </c>
      <c r="F5" s="162">
        <v>5.4</v>
      </c>
      <c r="G5" s="162">
        <f t="shared" ref="G5:G9" si="0">C5/E5*F5</f>
        <v>2.5714285714285717E-3</v>
      </c>
      <c r="H5" s="168">
        <v>32000</v>
      </c>
      <c r="I5" s="84">
        <f t="shared" ref="I5:I9" si="1">G5*H5</f>
        <v>82.285714285714292</v>
      </c>
    </row>
    <row r="6" spans="1:9" s="87" customFormat="1" ht="31.5" customHeight="1">
      <c r="A6" s="167" t="s">
        <v>105</v>
      </c>
      <c r="B6" s="162" t="s">
        <v>95</v>
      </c>
      <c r="C6" s="162">
        <v>9</v>
      </c>
      <c r="D6" s="83">
        <f>'[1]КВР 100'!$G$21</f>
        <v>25200</v>
      </c>
      <c r="E6" s="83">
        <v>4200</v>
      </c>
      <c r="F6" s="162">
        <v>5.4</v>
      </c>
      <c r="G6" s="162">
        <f t="shared" si="0"/>
        <v>1.1571428571428573E-2</v>
      </c>
      <c r="H6" s="168">
        <v>25200</v>
      </c>
      <c r="I6" s="84">
        <f t="shared" si="1"/>
        <v>291.60000000000002</v>
      </c>
    </row>
    <row r="7" spans="1:9" s="87" customFormat="1" ht="31.5" customHeight="1">
      <c r="A7" s="167" t="s">
        <v>106</v>
      </c>
      <c r="B7" s="162" t="s">
        <v>95</v>
      </c>
      <c r="C7" s="162">
        <v>9</v>
      </c>
      <c r="D7" s="83">
        <f>'[1]КВР 100'!$G$65</f>
        <v>209880</v>
      </c>
      <c r="E7" s="83">
        <v>4200</v>
      </c>
      <c r="F7" s="162">
        <v>5.4</v>
      </c>
      <c r="G7" s="162">
        <f t="shared" si="0"/>
        <v>1.1571428571428573E-2</v>
      </c>
      <c r="H7" s="168">
        <v>174760</v>
      </c>
      <c r="I7" s="84">
        <f t="shared" si="1"/>
        <v>2022.2228571428575</v>
      </c>
    </row>
    <row r="8" spans="1:9" s="87" customFormat="1" ht="31.5" customHeight="1">
      <c r="A8" s="167" t="s">
        <v>107</v>
      </c>
      <c r="B8" s="162" t="s">
        <v>95</v>
      </c>
      <c r="C8" s="162">
        <v>9</v>
      </c>
      <c r="D8" s="83">
        <f>'[1]КВР 100'!$G$77</f>
        <v>34650</v>
      </c>
      <c r="E8" s="83">
        <v>4200</v>
      </c>
      <c r="F8" s="162">
        <v>5.4</v>
      </c>
      <c r="G8" s="162">
        <f t="shared" si="0"/>
        <v>1.1571428571428573E-2</v>
      </c>
      <c r="H8" s="168">
        <v>34100</v>
      </c>
      <c r="I8" s="84">
        <f t="shared" si="1"/>
        <v>394.58571428571435</v>
      </c>
    </row>
    <row r="9" spans="1:9" s="87" customFormat="1" ht="15.75">
      <c r="A9" s="167" t="s">
        <v>108</v>
      </c>
      <c r="B9" s="162" t="s">
        <v>95</v>
      </c>
      <c r="C9" s="162">
        <v>7</v>
      </c>
      <c r="D9" s="83">
        <f>'[1]КВР 100'!$G$45</f>
        <v>653700</v>
      </c>
      <c r="E9" s="83">
        <v>4200</v>
      </c>
      <c r="F9" s="162">
        <v>5.4</v>
      </c>
      <c r="G9" s="162">
        <f t="shared" si="0"/>
        <v>9.0000000000000011E-3</v>
      </c>
      <c r="H9" s="168">
        <v>773700</v>
      </c>
      <c r="I9" s="84">
        <f t="shared" si="1"/>
        <v>6963.3000000000011</v>
      </c>
    </row>
    <row r="10" spans="1:9" s="87" customFormat="1" ht="31.5">
      <c r="A10" s="167" t="s">
        <v>244</v>
      </c>
      <c r="B10" s="162"/>
      <c r="C10" s="162"/>
      <c r="D10" s="83">
        <f>'[1]КВР 200'!$G$158</f>
        <v>2872.33</v>
      </c>
      <c r="E10" s="83"/>
      <c r="F10" s="162"/>
      <c r="G10" s="162"/>
      <c r="H10" s="168"/>
      <c r="I10" s="84"/>
    </row>
    <row r="11" spans="1:9" s="87" customFormat="1" ht="15.75">
      <c r="A11" s="167" t="s">
        <v>246</v>
      </c>
      <c r="B11" s="162"/>
      <c r="C11" s="162"/>
      <c r="D11" s="83">
        <f>'[1]КВР 800'!$G$21</f>
        <v>168</v>
      </c>
      <c r="E11" s="83"/>
      <c r="F11" s="162"/>
      <c r="G11" s="162"/>
      <c r="H11" s="168"/>
      <c r="I11" s="84"/>
    </row>
    <row r="12" spans="1:9" s="87" customFormat="1" ht="31.5">
      <c r="A12" s="167" t="s">
        <v>243</v>
      </c>
      <c r="B12" s="162"/>
      <c r="C12" s="162"/>
      <c r="D12" s="83">
        <f>'[1]КВР 200'!$G$181</f>
        <v>4900</v>
      </c>
      <c r="E12" s="83"/>
      <c r="F12" s="162"/>
      <c r="G12" s="162"/>
      <c r="H12" s="168"/>
      <c r="I12" s="84"/>
    </row>
    <row r="13" spans="1:9" s="85" customFormat="1" ht="15.75">
      <c r="A13" s="33" t="s">
        <v>260</v>
      </c>
      <c r="B13" s="143"/>
      <c r="C13" s="143"/>
      <c r="D13" s="83">
        <f>'[1]КВР 200'!$G$173</f>
        <v>32483</v>
      </c>
      <c r="E13" s="83"/>
      <c r="F13" s="143"/>
      <c r="G13" s="143"/>
      <c r="H13" s="29"/>
      <c r="I13" s="84"/>
    </row>
    <row r="14" spans="1:9" ht="15" customHeight="1">
      <c r="A14" s="264" t="s">
        <v>103</v>
      </c>
      <c r="B14" s="264"/>
      <c r="C14" s="264"/>
      <c r="D14" s="264"/>
      <c r="E14" s="264"/>
      <c r="F14" s="264"/>
      <c r="G14" s="264"/>
      <c r="H14" s="264"/>
      <c r="I14" s="105">
        <f>SUM(I5:I9)</f>
        <v>9753.9942857142869</v>
      </c>
    </row>
    <row r="16" spans="1:9">
      <c r="D16" s="18">
        <f>SUM(D5:D13)</f>
        <v>1031853.33</v>
      </c>
    </row>
    <row r="18" spans="4:4">
      <c r="D18" s="18"/>
    </row>
    <row r="19" spans="4:4">
      <c r="D19" s="18"/>
    </row>
    <row r="21" spans="4:4" ht="15" customHeight="1"/>
  </sheetData>
  <mergeCells count="2">
    <mergeCell ref="A1:I1"/>
    <mergeCell ref="A14:H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</vt:i4>
      </vt:variant>
    </vt:vector>
  </HeadingPairs>
  <TitlesOfParts>
    <vt:vector size="21" baseType="lpstr">
      <vt:lpstr>УСЛУГА </vt:lpstr>
      <vt:lpstr>Работа 1 </vt:lpstr>
      <vt:lpstr>общие сведения</vt:lpstr>
      <vt:lpstr>211,213 непосред. связан. усл</vt:lpstr>
      <vt:lpstr>211,213 непосред. связан.работы</vt:lpstr>
      <vt:lpstr>общие сведения (2)</vt:lpstr>
      <vt:lpstr>мат запасы и ОЦДИ</vt:lpstr>
      <vt:lpstr>мат запасы и ОЦДИ работы</vt:lpstr>
      <vt:lpstr>иные затраты</vt:lpstr>
      <vt:lpstr>иные затраты Работы</vt:lpstr>
      <vt:lpstr>комунальные услуги</vt:lpstr>
      <vt:lpstr>ком.услуги работы</vt:lpstr>
      <vt:lpstr>221, на содер ОЦДИ</vt:lpstr>
      <vt:lpstr>221, на содер ОЦДИ работы</vt:lpstr>
      <vt:lpstr>222 (транст)</vt:lpstr>
      <vt:lpstr>211,213 не связанные с оказ усл</vt:lpstr>
      <vt:lpstr>211,213 не связан. работы</vt:lpstr>
      <vt:lpstr>общехоз нужды</vt:lpstr>
      <vt:lpstr>общехоз нужды (раб)</vt:lpstr>
      <vt:lpstr>Приложение новое</vt:lpstr>
      <vt:lpstr>'Приложение новое'!Область_печати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Евгеньевна Федина</dc:creator>
  <cp:lastModifiedBy>Инёшина Л.В.</cp:lastModifiedBy>
  <cp:lastPrinted>2016-04-21T03:15:48Z</cp:lastPrinted>
  <dcterms:created xsi:type="dcterms:W3CDTF">2015-12-11T05:43:49Z</dcterms:created>
  <dcterms:modified xsi:type="dcterms:W3CDTF">2024-03-20T10:05:26Z</dcterms:modified>
</cp:coreProperties>
</file>