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0" windowWidth="24240" windowHeight="12405" tabRatio="941" activeTab="9"/>
  </bookViews>
  <sheets>
    <sheet name="УСЛУГА " sheetId="1" r:id="rId1"/>
    <sheet name="общие сведения" sheetId="2" r:id="rId2"/>
    <sheet name="211,213 непосред. связан. усл" sheetId="3" r:id="rId3"/>
    <sheet name="211,213 не связанные с оказ усл" sheetId="9" r:id="rId4"/>
    <sheet name="мат запасы и ОЦДИ" sheetId="4" r:id="rId5"/>
    <sheet name="иные затраты" sheetId="14" r:id="rId6"/>
    <sheet name="комунальные услуги" sheetId="5" r:id="rId7"/>
    <sheet name="затраты на содер недвиж имущ" sheetId="6" r:id="rId8"/>
    <sheet name="221, на содер ОЦДИ" sheetId="7" r:id="rId9"/>
    <sheet name="222 (транст)" sheetId="8" r:id="rId10"/>
    <sheet name="общехоз нужды" sheetId="11" r:id="rId11"/>
    <sheet name="Лист12" sheetId="12" r:id="rId12"/>
  </sheets>
  <externalReferences>
    <externalReference r:id="rId13"/>
  </externalReferences>
  <calcPr calcId="125725"/>
</workbook>
</file>

<file path=xl/calcChain.xml><?xml version="1.0" encoding="utf-8"?>
<calcChain xmlns="http://schemas.openxmlformats.org/spreadsheetml/2006/main">
  <c r="B14" i="9"/>
  <c r="B13"/>
  <c r="B12"/>
  <c r="B11"/>
  <c r="B10"/>
  <c r="B9"/>
  <c r="B8"/>
  <c r="B6"/>
  <c r="B7"/>
  <c r="B5"/>
  <c r="B19" i="3"/>
  <c r="B18"/>
  <c r="B17"/>
  <c r="B16"/>
  <c r="B15"/>
  <c r="B14"/>
  <c r="B13"/>
  <c r="B12"/>
  <c r="C9" i="11" l="1"/>
  <c r="C8"/>
  <c r="C6"/>
  <c r="C5"/>
  <c r="C10"/>
  <c r="C6" i="8"/>
  <c r="C5"/>
  <c r="C9" i="7"/>
  <c r="C7"/>
  <c r="C6"/>
  <c r="C14" i="6"/>
  <c r="C13"/>
  <c r="F13"/>
  <c r="H13" s="1"/>
  <c r="C12"/>
  <c r="C11"/>
  <c r="C10"/>
  <c r="C9"/>
  <c r="C8"/>
  <c r="C7"/>
  <c r="C6"/>
  <c r="C5"/>
  <c r="C13" i="5"/>
  <c r="C10"/>
  <c r="C9"/>
  <c r="C12"/>
  <c r="C11"/>
  <c r="C12" i="14"/>
  <c r="C11"/>
  <c r="C7"/>
  <c r="C6"/>
  <c r="C5"/>
  <c r="D11" i="9" l="1"/>
  <c r="D6"/>
  <c r="D7"/>
  <c r="D8"/>
  <c r="D9"/>
  <c r="D10"/>
  <c r="D12"/>
  <c r="D13"/>
  <c r="D14"/>
  <c r="D5"/>
  <c r="D16" l="1"/>
  <c r="C16" s="1"/>
  <c r="C17" s="1"/>
  <c r="E16"/>
  <c r="D19" i="3"/>
  <c r="D17"/>
  <c r="D16"/>
  <c r="D15"/>
  <c r="D13"/>
  <c r="D14" l="1"/>
  <c r="D18"/>
  <c r="D12"/>
  <c r="E12"/>
  <c r="D21" l="1"/>
  <c r="C21" s="1"/>
  <c r="B16" i="9"/>
  <c r="F10" i="11"/>
  <c r="H10" s="1"/>
  <c r="H11" s="1"/>
  <c r="F7"/>
  <c r="H7" s="1"/>
  <c r="F6"/>
  <c r="H6" s="1"/>
  <c r="F5" i="8"/>
  <c r="H5" s="1"/>
  <c r="F7" i="7"/>
  <c r="I7" s="1"/>
  <c r="F6"/>
  <c r="I6" s="1"/>
  <c r="F11" i="6"/>
  <c r="H11" s="1"/>
  <c r="F10"/>
  <c r="H10" s="1"/>
  <c r="C14" i="5"/>
  <c r="F11" i="14"/>
  <c r="H11" s="1"/>
  <c r="F8"/>
  <c r="H8" s="1"/>
  <c r="F9" i="11"/>
  <c r="H9" s="1"/>
  <c r="F8"/>
  <c r="H8" s="1"/>
  <c r="F5"/>
  <c r="H5" s="1"/>
  <c r="F12" i="14"/>
  <c r="H12" s="1"/>
  <c r="F9"/>
  <c r="H9" s="1"/>
  <c r="F10"/>
  <c r="H10" s="1"/>
  <c r="F7"/>
  <c r="H7" s="1"/>
  <c r="F5"/>
  <c r="H5" s="1"/>
  <c r="C9" i="8"/>
  <c r="F6"/>
  <c r="H6" s="1"/>
  <c r="F8" i="7"/>
  <c r="I8" s="1"/>
  <c r="F10"/>
  <c r="I10" s="1"/>
  <c r="F9"/>
  <c r="I9" s="1"/>
  <c r="F7" i="6"/>
  <c r="H7" s="1"/>
  <c r="F8"/>
  <c r="H8" s="1"/>
  <c r="F12"/>
  <c r="H12" s="1"/>
  <c r="F5"/>
  <c r="F14"/>
  <c r="H14" s="1"/>
  <c r="H15" s="1"/>
  <c r="F9"/>
  <c r="H9" s="1"/>
  <c r="F6"/>
  <c r="H6" s="1"/>
  <c r="F13" i="5"/>
  <c r="H13" s="1"/>
  <c r="F12"/>
  <c r="H12" s="1"/>
  <c r="C21" i="7" l="1"/>
  <c r="C12" i="11"/>
  <c r="C15" i="14"/>
  <c r="C17" i="6"/>
  <c r="I19" i="7"/>
  <c r="F20" i="1" l="1"/>
  <c r="B21" i="3" l="1"/>
  <c r="C22" s="1"/>
  <c r="H13" l="1"/>
  <c r="H14"/>
  <c r="H15"/>
  <c r="H16"/>
  <c r="H17"/>
  <c r="H18"/>
  <c r="H19"/>
  <c r="H12"/>
  <c r="E13"/>
  <c r="E14"/>
  <c r="E15"/>
  <c r="E16"/>
  <c r="E17"/>
  <c r="E18"/>
  <c r="E19"/>
  <c r="H13" i="9"/>
  <c r="G13"/>
  <c r="G14"/>
  <c r="H14"/>
  <c r="I14" l="1"/>
  <c r="I13"/>
  <c r="G18" i="3"/>
  <c r="G19"/>
  <c r="G17"/>
  <c r="I18" l="1"/>
  <c r="I17"/>
  <c r="F9" i="1"/>
  <c r="F6" i="14"/>
  <c r="H6" s="1"/>
  <c r="H13" s="1"/>
  <c r="H6" i="9"/>
  <c r="H8"/>
  <c r="H9"/>
  <c r="H10"/>
  <c r="H11"/>
  <c r="H12"/>
  <c r="H5"/>
  <c r="G6"/>
  <c r="G8"/>
  <c r="G9"/>
  <c r="G10"/>
  <c r="G11"/>
  <c r="G12"/>
  <c r="G5"/>
  <c r="H5" i="6"/>
  <c r="F10" i="5"/>
  <c r="H10" s="1"/>
  <c r="F11"/>
  <c r="H11" s="1"/>
  <c r="F9"/>
  <c r="H9" s="1"/>
  <c r="F11" i="1" l="1"/>
  <c r="H7" i="8"/>
  <c r="F22" i="1" s="1"/>
  <c r="F14"/>
  <c r="I5" i="9"/>
  <c r="I12"/>
  <c r="I10"/>
  <c r="I8"/>
  <c r="I6"/>
  <c r="I11"/>
  <c r="I9"/>
  <c r="I15" l="1"/>
  <c r="F24" i="1" s="1"/>
  <c r="C31" s="1"/>
  <c r="G13" i="3"/>
  <c r="G14"/>
  <c r="G15"/>
  <c r="G16"/>
  <c r="G12"/>
  <c r="I14" l="1"/>
  <c r="I15"/>
  <c r="I13"/>
  <c r="I12"/>
  <c r="I19"/>
  <c r="I16"/>
  <c r="I20" l="1"/>
  <c r="F7" i="1" l="1"/>
  <c r="C28" s="1"/>
  <c r="C34" s="1"/>
</calcChain>
</file>

<file path=xl/sharedStrings.xml><?xml version="1.0" encoding="utf-8"?>
<sst xmlns="http://schemas.openxmlformats.org/spreadsheetml/2006/main" count="239" uniqueCount="162">
  <si>
    <t>Ед. изм.</t>
  </si>
  <si>
    <t>Значение нормы</t>
  </si>
  <si>
    <t>1.2. Материальные запасы и ОЦДИ</t>
  </si>
  <si>
    <t>1.3. Иные нормы</t>
  </si>
  <si>
    <t>2. Нормы на общехозяйственные нужды</t>
  </si>
  <si>
    <t>2.1. Коммунальные услуги</t>
  </si>
  <si>
    <t>2.2. Содержание объектов недвижимого имущества</t>
  </si>
  <si>
    <t>2.3. Содержание объектов ОЦДИ</t>
  </si>
  <si>
    <t>2.4. Услуги связи</t>
  </si>
  <si>
    <t>2.5. Транспортные услуги</t>
  </si>
  <si>
    <t>2.6. Заработная плата</t>
  </si>
  <si>
    <t>2.7. Прочие общехозяйственные нужды</t>
  </si>
  <si>
    <t>ЭКМ</t>
  </si>
  <si>
    <t>Количество ставок</t>
  </si>
  <si>
    <t>Работники, непосредственно НЕ связанные с оказанием услуги</t>
  </si>
  <si>
    <r>
      <rPr>
        <b/>
        <sz val="11"/>
        <color rgb="FF000000"/>
        <rFont val="Times New Roman"/>
        <family val="1"/>
        <charset val="204"/>
      </rPr>
      <t xml:space="preserve">Определение натуральных норм базовых нормативов затрат </t>
    </r>
    <r>
      <rPr>
        <b/>
        <u/>
        <sz val="11"/>
        <color rgb="FF000000"/>
        <rFont val="Times New Roman"/>
        <family val="1"/>
        <charset val="204"/>
      </rPr>
      <t xml:space="preserve">по каждой услуге </t>
    </r>
    <r>
      <rPr>
        <b/>
        <sz val="11"/>
        <color rgb="FF000000"/>
        <rFont val="Times New Roman"/>
        <family val="1"/>
        <charset val="204"/>
      </rPr>
      <t>методом наиболее эффективного учреждения (на основе анализа и усреднения)</t>
    </r>
  </si>
  <si>
    <r>
      <t>Содержание услуги 1</t>
    </r>
    <r>
      <rPr>
        <sz val="11"/>
        <color rgb="FF000000"/>
        <rFont val="Times New Roman"/>
        <family val="1"/>
        <charset val="204"/>
      </rPr>
      <t xml:space="preserve">: </t>
    </r>
  </si>
  <si>
    <t>Работники, непосредственно связанные с оказанием услуги</t>
  </si>
  <si>
    <t xml:space="preserve">Затраты на оплату труда (с начислениями) работников, непосредственно связанных с оказанием услуги </t>
  </si>
  <si>
    <r>
      <t xml:space="preserve">Фонд заработной платы </t>
    </r>
    <r>
      <rPr>
        <sz val="11"/>
        <color rgb="FF000000"/>
        <rFont val="Times New Roman"/>
        <family val="1"/>
        <charset val="204"/>
      </rPr>
      <t xml:space="preserve">– в соответствии со штатным расписанием (с учетом стимулирующих выплат) по каждой группе должностей. Начисления на ФОТ – коэффициент </t>
    </r>
    <r>
      <rPr>
        <b/>
        <sz val="11"/>
        <color rgb="FFC00000"/>
        <rFont val="Times New Roman"/>
        <family val="1"/>
        <charset val="204"/>
      </rPr>
      <t>1,302</t>
    </r>
  </si>
  <si>
    <t>Должности по штатному расписанию</t>
  </si>
  <si>
    <t>З/п на одну ставку (ФОТ)</t>
  </si>
  <si>
    <t>Кол-во ставок</t>
  </si>
  <si>
    <t>Норма трудозатрат на оказание  1 ед. услуги (человеко-часов)</t>
  </si>
  <si>
    <t>Нормативные затраты</t>
  </si>
  <si>
    <t>6 = 4 ÷ 5</t>
  </si>
  <si>
    <t>ИТОГО ОПЛАТА ТРУДА</t>
  </si>
  <si>
    <r>
      <t>8 = 6</t>
    </r>
    <r>
      <rPr>
        <sz val="11"/>
        <color rgb="FF000000"/>
        <rFont val="Arial"/>
        <family val="2"/>
        <charset val="204"/>
      </rPr>
      <t>× 7</t>
    </r>
    <r>
      <rPr>
        <sz val="11"/>
        <color rgb="FF000000"/>
        <rFont val="Times New Roman"/>
        <family val="1"/>
        <charset val="204"/>
      </rPr>
      <t xml:space="preserve"> </t>
    </r>
  </si>
  <si>
    <t>Материальные запасы и особо ценное движимое имущество (Используются укрупненные группы запасов и ОЦДИ для определения ресурсов)</t>
  </si>
  <si>
    <t>Наименование запасов и особо ценного движимого имущества по группам</t>
  </si>
  <si>
    <t>Ед. изм. нормы</t>
  </si>
  <si>
    <t xml:space="preserve">Нормативное количество мат. запасов, ОЦДИ </t>
  </si>
  <si>
    <t>Норма на 1 зрителя , (шт)</t>
  </si>
  <si>
    <t xml:space="preserve">Нормативные затраты </t>
  </si>
  <si>
    <t>ед.</t>
  </si>
  <si>
    <t>ПРОЧЕЕ ИМУЩЕСТВО</t>
  </si>
  <si>
    <t>ИТОГО МАТ ЗАПАСЫ / ОЦДИ</t>
  </si>
  <si>
    <r>
      <t xml:space="preserve">5 = 3 </t>
    </r>
    <r>
      <rPr>
        <sz val="11"/>
        <color rgb="FF000000"/>
        <rFont val="Arial"/>
        <family val="2"/>
        <charset val="204"/>
      </rPr>
      <t xml:space="preserve">÷ </t>
    </r>
    <r>
      <rPr>
        <sz val="11"/>
        <color rgb="FF000000"/>
        <rFont val="Times New Roman"/>
        <family val="1"/>
        <charset val="204"/>
      </rPr>
      <t>4</t>
    </r>
  </si>
  <si>
    <r>
      <t xml:space="preserve">8 = 5 </t>
    </r>
    <r>
      <rPr>
        <sz val="11"/>
        <color rgb="FF000000"/>
        <rFont val="Arial"/>
        <family val="2"/>
        <charset val="204"/>
      </rPr>
      <t>× 7</t>
    </r>
  </si>
  <si>
    <t>Срок полезного исп-я, лет(ПБУ)</t>
  </si>
  <si>
    <t>Цена 1 ед. ресурса, рублей</t>
  </si>
  <si>
    <t>Затраты на коммунальные услуги</t>
  </si>
  <si>
    <r>
      <t>Рекомендуемый метод распределения общ-х затрат</t>
    </r>
    <r>
      <rPr>
        <sz val="11"/>
        <color rgb="FF000000"/>
        <rFont val="Times New Roman"/>
        <family val="1"/>
        <charset val="204"/>
      </rPr>
      <t>:</t>
    </r>
    <r>
      <rPr>
        <sz val="11"/>
        <color rgb="FFC00000"/>
        <rFont val="Times New Roman"/>
        <family val="1"/>
        <charset val="204"/>
      </rPr>
      <t xml:space="preserve"> время использования имущ. Комплекса</t>
    </r>
  </si>
  <si>
    <t>Наименование коммунальных услуг</t>
  </si>
  <si>
    <t>Норматив-ный объем</t>
  </si>
  <si>
    <t>Общее полезное время исп-я имущ. комплекса</t>
  </si>
  <si>
    <t>Норма ресурса на 1 ед. услуги</t>
  </si>
  <si>
    <t>Тариф (цена), рублей</t>
  </si>
  <si>
    <t>Электроэнергия</t>
  </si>
  <si>
    <t>Теплоэнергия</t>
  </si>
  <si>
    <t>Время исп-я имущ. комплекса на 1 зрителя</t>
  </si>
  <si>
    <r>
      <t xml:space="preserve">6 = 3 </t>
    </r>
    <r>
      <rPr>
        <sz val="11"/>
        <color rgb="FF000000"/>
        <rFont val="Arial"/>
        <family val="2"/>
        <charset val="204"/>
      </rPr>
      <t xml:space="preserve">÷ </t>
    </r>
    <r>
      <rPr>
        <sz val="11"/>
        <color rgb="FF000000"/>
        <rFont val="Times New Roman"/>
        <family val="1"/>
        <charset val="204"/>
      </rPr>
      <t xml:space="preserve">4 </t>
    </r>
    <r>
      <rPr>
        <sz val="11"/>
        <color rgb="FF000000"/>
        <rFont val="Arial"/>
        <family val="2"/>
        <charset val="204"/>
      </rPr>
      <t>× 5</t>
    </r>
  </si>
  <si>
    <r>
      <t xml:space="preserve">8 = 6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7</t>
    </r>
  </si>
  <si>
    <t>Затраты на содержание объектов недвижимого имущества</t>
  </si>
  <si>
    <t>Наименование затрат</t>
  </si>
  <si>
    <t>Норма затрат на 1 ед. услуги</t>
  </si>
  <si>
    <t>ИТОГО СОДЕРЖАНИЕ ОБЪЕКТОВ НЕДВИЖ. ИМУЩЕСТВА</t>
  </si>
  <si>
    <t>Затраты на содержание объектов ОЦДИ, услуги связи</t>
  </si>
  <si>
    <t>Наименование услуг связи</t>
  </si>
  <si>
    <t>Месяцев</t>
  </si>
  <si>
    <t>ИТОГО УСЛУГИ СВЯЗИ</t>
  </si>
  <si>
    <t>Затраты на транспортные услуги</t>
  </si>
  <si>
    <t>Наименование транспортных услуг</t>
  </si>
  <si>
    <t>ИТОГО ТРАНСПОРТНЫЕ УСЛУГИ</t>
  </si>
  <si>
    <t xml:space="preserve">Затраты на оплату труда (с начислениями) работников, непосредственно НЕ связанных с оказанием услуги </t>
  </si>
  <si>
    <t>ФОТ с учетом количества ставок и отчислений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</si>
  <si>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</si>
  <si>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</si>
  <si>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</si>
  <si>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</si>
  <si>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r>
      <t xml:space="preserve">9 = 6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7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8</t>
    </r>
  </si>
  <si>
    <r>
      <t xml:space="preserve">7 = 2 </t>
    </r>
    <r>
      <rPr>
        <sz val="11"/>
        <color rgb="FF000000"/>
        <rFont val="Arial"/>
        <family val="2"/>
        <charset val="204"/>
      </rPr>
      <t xml:space="preserve">× 3× </t>
    </r>
    <r>
      <rPr>
        <sz val="11"/>
        <color rgb="FFC00000"/>
        <rFont val="Times New Roman"/>
        <family val="1"/>
        <charset val="204"/>
      </rPr>
      <t xml:space="preserve">12 </t>
    </r>
    <r>
      <rPr>
        <sz val="11"/>
        <color rgb="FF000000"/>
        <rFont val="Arial"/>
        <family val="2"/>
        <charset val="204"/>
      </rPr>
      <t>×</t>
    </r>
    <r>
      <rPr>
        <sz val="11"/>
        <color rgb="FFC00000"/>
        <rFont val="Times New Roman"/>
        <family val="1"/>
        <charset val="204"/>
      </rPr>
      <t xml:space="preserve"> 1,302</t>
    </r>
  </si>
  <si>
    <t>Методисты</t>
  </si>
  <si>
    <t>1. Нормы, непосредственно связанные с оказанием услуги</t>
  </si>
  <si>
    <r>
      <t xml:space="preserve"> </t>
    </r>
    <r>
      <rPr>
        <b/>
        <sz val="10"/>
        <color theme="1"/>
        <rFont val="Times New Roman"/>
        <family val="1"/>
        <charset val="204"/>
      </rPr>
      <t>Базовый норматив затрат, непосредственно связанных с оказанием i-ой государственной услуги</t>
    </r>
  </si>
  <si>
    <r>
      <t xml:space="preserve"> </t>
    </r>
    <r>
      <rPr>
        <b/>
        <sz val="9"/>
        <color theme="1"/>
        <rFont val="Times New Roman"/>
        <family val="1"/>
        <charset val="204"/>
      </rPr>
      <t>Базовый норматив затрат на общехозяйственные нужды на оказание i-ой государственной услуги</t>
    </r>
  </si>
  <si>
    <t xml:space="preserve">Базовый норматив затрат на оказание i-ой государственной услуги </t>
  </si>
  <si>
    <t>Наименование услуги</t>
  </si>
  <si>
    <t>Уникальный номер реестровой записи</t>
  </si>
  <si>
    <t>07016000000000001006101</t>
  </si>
  <si>
    <t>1.1. Работники, непосредственно связанные с оказанием муниципальной услуги</t>
  </si>
  <si>
    <t>шт. ед.</t>
  </si>
  <si>
    <t>Наименование нормы</t>
  </si>
  <si>
    <t>Заработная плата</t>
  </si>
  <si>
    <t>Арендная плата</t>
  </si>
  <si>
    <t>мес.</t>
  </si>
  <si>
    <t>Водоснабжение</t>
  </si>
  <si>
    <t>Время исп-я имущ. комплекса на 1 посетителя</t>
  </si>
  <si>
    <t>шт</t>
  </si>
  <si>
    <t>Мб</t>
  </si>
  <si>
    <t>Иные затраты, непосредственно связанные с оказанием  услуги</t>
  </si>
  <si>
    <t xml:space="preserve">ИТОГО ИНЫЕ ЗАТРАТЫ </t>
  </si>
  <si>
    <t>Командировочные расходы в части суточных</t>
  </si>
  <si>
    <t>Командировочные расходы в части проезда</t>
  </si>
  <si>
    <t>Льготный проезд</t>
  </si>
  <si>
    <t>Учреждение: Муниципальное бюджетное учреждение дополнительного образования "Эвенкийская детская школа искусств" ЭМР</t>
  </si>
  <si>
    <r>
      <t>Штатное расписание</t>
    </r>
    <r>
      <rPr>
        <sz val="11"/>
        <color rgb="FF000000"/>
        <rFont val="Times New Roman"/>
        <family val="1"/>
        <charset val="204"/>
      </rPr>
      <t>: 37 общие</t>
    </r>
  </si>
  <si>
    <t>Заместитель директора по УВР</t>
  </si>
  <si>
    <t>Заместитель директора по АХР</t>
  </si>
  <si>
    <t>Преподаватели</t>
  </si>
  <si>
    <t>Концертместер</t>
  </si>
  <si>
    <t>Костюмер</t>
  </si>
  <si>
    <t>Сторож</t>
  </si>
  <si>
    <t>Преподаватель</t>
  </si>
  <si>
    <t>Концертмейстер</t>
  </si>
  <si>
    <t>Проезд детей на фестивали и конкурсы</t>
  </si>
  <si>
    <t>Методист</t>
  </si>
  <si>
    <t>Гардеробщик</t>
  </si>
  <si>
    <t>Вахтер-контралер</t>
  </si>
  <si>
    <t xml:space="preserve">Уборщик служебных помещений </t>
  </si>
  <si>
    <t>Рабочий по комплексному обслуживанию и ремонту зданий</t>
  </si>
  <si>
    <t>Слесарь-электрик(0,5)</t>
  </si>
  <si>
    <t xml:space="preserve">Директор </t>
  </si>
  <si>
    <t>Документовед</t>
  </si>
  <si>
    <t>Дворник</t>
  </si>
  <si>
    <t>Специалист-техник по компьютерным сетям и системам (0,5)</t>
  </si>
  <si>
    <t xml:space="preserve">Уборщик служебных  помещений </t>
  </si>
  <si>
    <t xml:space="preserve">Рабочий по комплексному обслуживанию и ремонту зданий </t>
  </si>
  <si>
    <t xml:space="preserve">Заместитель директора по АХР </t>
  </si>
  <si>
    <t>Слесарь-эектрик</t>
  </si>
  <si>
    <t>Специалист-техник по компьютерным сетям и системам</t>
  </si>
  <si>
    <t>Байкос Искра (Абоненская плата за интернет)</t>
  </si>
  <si>
    <t>гб</t>
  </si>
  <si>
    <t xml:space="preserve">Интернет </t>
  </si>
  <si>
    <r>
      <t>Услуга</t>
    </r>
    <r>
      <rPr>
        <sz val="11"/>
        <color rgb="FF000000"/>
        <rFont val="Times New Roman"/>
        <family val="1"/>
        <charset val="204"/>
      </rPr>
      <t>:Реализация дополнительных  общеразвивающих программ (хореографическое творчество,  живопись, фортепиано, гитара, баян,  РЭР ) (070171000000000000004101)</t>
    </r>
  </si>
  <si>
    <r>
      <t>Содержание услуги 2</t>
    </r>
    <r>
      <rPr>
        <sz val="11"/>
        <color rgb="FF000000"/>
        <rFont val="Times New Roman"/>
        <family val="1"/>
        <charset val="204"/>
      </rPr>
      <t>: Реализация дополнительных общеразвивающих  программ</t>
    </r>
  </si>
  <si>
    <t>Реализация дополнительных  общеразвивающих  программ</t>
  </si>
  <si>
    <t>ЖБО</t>
  </si>
  <si>
    <t xml:space="preserve">Вывоэ ТБО </t>
  </si>
  <si>
    <t>Дератизация</t>
  </si>
  <si>
    <t>Техническое обслуживание установки "Сокол"</t>
  </si>
  <si>
    <t>Обслуживание счетчика</t>
  </si>
  <si>
    <t>Обслуживание пожарной сигнализации</t>
  </si>
  <si>
    <t>Обслуживание видионаблюдения</t>
  </si>
  <si>
    <t>Сопровождение детей части суточных</t>
  </si>
  <si>
    <t xml:space="preserve">Оплата проезда к месту учебного заведения и обратно </t>
  </si>
  <si>
    <t>Прочие работы и услуги</t>
  </si>
  <si>
    <t xml:space="preserve">Увеличение стоимости основных средств </t>
  </si>
  <si>
    <t xml:space="preserve">Увеличение стоимости прочих запасов  </t>
  </si>
  <si>
    <t>Количество затраченных человеко-часов (1 979 часа ×кол-во ставок)</t>
  </si>
  <si>
    <t>Число зрителей (плановое задание 2020 года)</t>
  </si>
  <si>
    <t>Стоимость 1 человека-часа(ФОТ × 12 мес × 1,302  ÷ 1 979 часов)</t>
  </si>
  <si>
    <t>Число зрителей(плановое задание 2020 года)</t>
  </si>
  <si>
    <t>обслуживание тривожной кнопки</t>
  </si>
  <si>
    <t>Аренда жилья</t>
  </si>
  <si>
    <r>
      <t>Наименование показателя объема</t>
    </r>
    <r>
      <rPr>
        <sz val="11"/>
        <color rgb="FF000000"/>
        <rFont val="Times New Roman"/>
        <family val="1"/>
        <charset val="204"/>
      </rPr>
      <t>: Доля детей , осваиваюих дополнительные общеразвивающие программы в образовательном учреждении   68</t>
    </r>
  </si>
  <si>
    <r>
      <t>Планируемое число посетителей в год</t>
    </r>
    <r>
      <rPr>
        <sz val="11"/>
        <color rgb="FF000000"/>
        <rFont val="Times New Roman"/>
        <family val="1"/>
        <charset val="204"/>
      </rPr>
      <t xml:space="preserve">: 68 детей (показатель объема услуги - </t>
    </r>
    <r>
      <rPr>
        <sz val="11"/>
        <color rgb="FFC00000"/>
        <rFont val="Times New Roman"/>
        <family val="1"/>
        <charset val="204"/>
      </rPr>
      <t>задание</t>
    </r>
    <r>
      <rPr>
        <sz val="11"/>
        <color rgb="FF000000"/>
        <rFont val="Times New Roman"/>
        <family val="1"/>
        <charset val="204"/>
      </rPr>
      <t>)</t>
    </r>
  </si>
  <si>
    <r>
      <t xml:space="preserve">4 = 3 </t>
    </r>
    <r>
      <rPr>
        <sz val="11"/>
        <color rgb="FF000000"/>
        <rFont val="Arial"/>
        <family val="2"/>
        <charset val="204"/>
      </rPr>
      <t xml:space="preserve">× </t>
    </r>
    <r>
      <rPr>
        <b/>
        <sz val="11"/>
        <color rgb="FFC00000"/>
        <rFont val="Times New Roman"/>
        <family val="1"/>
        <charset val="204"/>
      </rPr>
      <t>1 973</t>
    </r>
  </si>
  <si>
    <r>
      <t xml:space="preserve">7= 2 </t>
    </r>
    <r>
      <rPr>
        <sz val="11"/>
        <color rgb="FF000000"/>
        <rFont val="Arial"/>
        <family val="2"/>
        <charset val="204"/>
      </rPr>
      <t xml:space="preserve">× </t>
    </r>
    <r>
      <rPr>
        <b/>
        <sz val="11"/>
        <color rgb="FFC00000"/>
        <rFont val="Times New Roman"/>
        <family val="1"/>
        <charset val="204"/>
      </rPr>
      <t>12</t>
    </r>
    <r>
      <rPr>
        <sz val="11"/>
        <color rgb="FFC00000"/>
        <rFont val="Times New Roman"/>
        <family val="1"/>
        <charset val="204"/>
      </rPr>
      <t xml:space="preserve"> </t>
    </r>
    <r>
      <rPr>
        <sz val="11"/>
        <color rgb="FF000000"/>
        <rFont val="Arial"/>
        <family val="2"/>
        <charset val="204"/>
      </rPr>
      <t>×</t>
    </r>
    <r>
      <rPr>
        <b/>
        <sz val="11"/>
        <color rgb="FFC00000"/>
        <rFont val="Times New Roman"/>
        <family val="1"/>
        <charset val="204"/>
      </rPr>
      <t>1,302</t>
    </r>
    <r>
      <rPr>
        <sz val="11"/>
        <color rgb="FF000000"/>
        <rFont val="Arial"/>
        <family val="2"/>
        <charset val="204"/>
      </rPr>
      <t>÷</t>
    </r>
    <r>
      <rPr>
        <sz val="11"/>
        <color rgb="FFC00000"/>
        <rFont val="Times New Roman"/>
        <family val="1"/>
        <charset val="204"/>
      </rPr>
      <t xml:space="preserve"> 1973</t>
    </r>
  </si>
  <si>
    <r>
      <t xml:space="preserve">Наименование показателя объема: 68 </t>
    </r>
    <r>
      <rPr>
        <sz val="11"/>
        <color rgb="FFC00000"/>
        <rFont val="Times New Roman"/>
        <family val="1"/>
        <charset val="204"/>
      </rPr>
      <t xml:space="preserve">число посетителей (человек) </t>
    </r>
  </si>
  <si>
    <r>
      <t>Общее полезное время использования: Количество рабочих дней (</t>
    </r>
    <r>
      <rPr>
        <sz val="11"/>
        <color rgb="FFFF0000"/>
        <rFont val="Times New Roman"/>
        <family val="1"/>
        <charset val="204"/>
      </rPr>
      <t>247</t>
    </r>
    <r>
      <rPr>
        <sz val="11"/>
        <color rgb="FF000000"/>
        <rFont val="Times New Roman"/>
        <family val="1"/>
        <charset val="204"/>
      </rPr>
      <t>) х количество рабочих часов в день (</t>
    </r>
    <r>
      <rPr>
        <sz val="11"/>
        <color rgb="FFFF0000"/>
        <rFont val="Times New Roman"/>
        <family val="1"/>
        <charset val="204"/>
      </rPr>
      <t>8</t>
    </r>
    <r>
      <rPr>
        <sz val="11"/>
        <color rgb="FF000000"/>
        <rFont val="Times New Roman"/>
        <family val="1"/>
        <charset val="204"/>
      </rPr>
      <t xml:space="preserve">) х количество потребителей в человека-часах в день (2,0) = </t>
    </r>
    <r>
      <rPr>
        <sz val="11"/>
        <color rgb="FFC00000"/>
        <rFont val="Times New Roman"/>
        <family val="1"/>
        <charset val="204"/>
      </rPr>
      <t>3 952,00</t>
    </r>
  </si>
  <si>
    <t>кВт час.(39%)</t>
  </si>
  <si>
    <t>Гкал (39%)</t>
  </si>
  <si>
    <r>
      <t>м</t>
    </r>
    <r>
      <rPr>
        <vertAlign val="superscript"/>
        <sz val="11"/>
        <color rgb="FF000000"/>
        <rFont val="Times New Roman"/>
        <family val="1"/>
        <charset val="204"/>
      </rPr>
      <t>3 (39%)</t>
    </r>
  </si>
  <si>
    <t>вода с системы отопление</t>
  </si>
  <si>
    <t>Производственный контроль</t>
  </si>
  <si>
    <t>Текущий ремонт окон</t>
  </si>
  <si>
    <t>Проверка счетчика</t>
  </si>
  <si>
    <t>Телефонная связь</t>
  </si>
  <si>
    <t>Автотранспорт трансфер</t>
  </si>
  <si>
    <t>Увеличение стоимости прочих запасов  однократного применения</t>
  </si>
  <si>
    <r>
      <t>Рабочих часов в год</t>
    </r>
    <r>
      <rPr>
        <sz val="11"/>
        <color rgb="FF000000"/>
        <rFont val="Times New Roman"/>
        <family val="1"/>
        <charset val="204"/>
      </rPr>
      <t xml:space="preserve">: </t>
    </r>
    <r>
      <rPr>
        <b/>
        <sz val="11"/>
        <color rgb="FFC00000"/>
        <rFont val="Times New Roman"/>
        <family val="1"/>
        <charset val="204"/>
      </rPr>
      <t xml:space="preserve">1 973 </t>
    </r>
    <r>
      <rPr>
        <sz val="11"/>
        <color rgb="FF000000"/>
        <rFont val="Times New Roman"/>
        <family val="1"/>
        <charset val="204"/>
      </rPr>
      <t>часа – производственный календарь на 2023 год</t>
    </r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</si>
</sst>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rgb="FF1F497D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b/>
      <sz val="9"/>
      <color rgb="FF000000"/>
      <name val="Cambria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readingOrder="1"/>
    </xf>
    <xf numFmtId="0" fontId="5" fillId="2" borderId="9" xfId="0" applyFont="1" applyFill="1" applyBorder="1" applyAlignment="1">
      <alignment horizontal="center" vertical="center" wrapText="1" readingOrder="1"/>
    </xf>
    <xf numFmtId="3" fontId="7" fillId="2" borderId="10" xfId="0" applyNumberFormat="1" applyFont="1" applyFill="1" applyBorder="1" applyAlignment="1">
      <alignment horizontal="center" vertical="center" wrapText="1" readingOrder="1"/>
    </xf>
    <xf numFmtId="0" fontId="5" fillId="2" borderId="12" xfId="0" applyFont="1" applyFill="1" applyBorder="1" applyAlignment="1">
      <alignment horizontal="center" vertical="center" wrapText="1" readingOrder="1"/>
    </xf>
    <xf numFmtId="0" fontId="5" fillId="2" borderId="12" xfId="0" applyFont="1" applyFill="1" applyBorder="1" applyAlignment="1">
      <alignment horizontal="center" vertical="top" wrapText="1" readingOrder="1"/>
    </xf>
    <xf numFmtId="0" fontId="5" fillId="2" borderId="13" xfId="0" applyFont="1" applyFill="1" applyBorder="1" applyAlignment="1">
      <alignment horizontal="center" vertical="center" wrapText="1" readingOrder="1"/>
    </xf>
    <xf numFmtId="0" fontId="12" fillId="4" borderId="17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justify" vertical="center" wrapText="1" readingOrder="1"/>
    </xf>
    <xf numFmtId="3" fontId="5" fillId="2" borderId="1" xfId="0" applyNumberFormat="1" applyFont="1" applyFill="1" applyBorder="1" applyAlignment="1">
      <alignment horizontal="center" vertical="top" wrapText="1" readingOrder="1"/>
    </xf>
    <xf numFmtId="3" fontId="7" fillId="2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center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2" fillId="2" borderId="11" xfId="0" applyFont="1" applyFill="1" applyBorder="1" applyAlignment="1">
      <alignment horizontal="justify" vertical="top" wrapText="1" readingOrder="1"/>
    </xf>
    <xf numFmtId="0" fontId="8" fillId="0" borderId="0" xfId="0" applyFont="1" applyAlignment="1">
      <alignment vertical="center" wrapText="1" readingOrder="1"/>
    </xf>
    <xf numFmtId="0" fontId="5" fillId="0" borderId="0" xfId="0" applyFont="1" applyAlignment="1">
      <alignment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justify" vertical="center" wrapText="1" readingOrder="1"/>
    </xf>
    <xf numFmtId="4" fontId="5" fillId="0" borderId="1" xfId="0" applyNumberFormat="1" applyFont="1" applyFill="1" applyBorder="1" applyAlignment="1">
      <alignment horizontal="center" vertical="center" wrapText="1" readingOrder="1"/>
    </xf>
    <xf numFmtId="0" fontId="0" fillId="0" borderId="0" xfId="0" applyFont="1"/>
    <xf numFmtId="0" fontId="5" fillId="0" borderId="1" xfId="0" applyFont="1" applyFill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left" vertical="top" wrapText="1" readingOrder="1"/>
    </xf>
    <xf numFmtId="4" fontId="5" fillId="0" borderId="1" xfId="0" applyNumberFormat="1" applyFont="1" applyFill="1" applyBorder="1" applyAlignment="1">
      <alignment horizontal="center" vertical="top" wrapText="1" readingOrder="1"/>
    </xf>
    <xf numFmtId="0" fontId="2" fillId="0" borderId="0" xfId="0" applyFont="1" applyBorder="1" applyAlignment="1">
      <alignment vertical="center" readingOrder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 readingOrder="1"/>
    </xf>
    <xf numFmtId="2" fontId="12" fillId="4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4" fontId="0" fillId="0" borderId="0" xfId="0" applyNumberFormat="1"/>
    <xf numFmtId="4" fontId="4" fillId="0" borderId="1" xfId="0" applyNumberFormat="1" applyFont="1" applyBorder="1" applyAlignment="1">
      <alignment horizontal="right" vertical="center" wrapText="1"/>
    </xf>
    <xf numFmtId="0" fontId="17" fillId="0" borderId="0" xfId="0" applyFont="1" applyFill="1" applyBorder="1" applyAlignment="1">
      <alignment vertical="center" wrapText="1"/>
    </xf>
    <xf numFmtId="4" fontId="17" fillId="0" borderId="0" xfId="0" applyNumberFormat="1" applyFont="1" applyFill="1" applyBorder="1" applyAlignment="1">
      <alignment vertical="center" wrapText="1"/>
    </xf>
    <xf numFmtId="4" fontId="18" fillId="0" borderId="0" xfId="0" applyNumberFormat="1" applyFont="1" applyAlignment="1">
      <alignment horizontal="left" vertical="center" wrapText="1"/>
    </xf>
    <xf numFmtId="4" fontId="19" fillId="0" borderId="0" xfId="0" applyNumberFormat="1" applyFont="1" applyAlignment="1">
      <alignment horizontal="left" vertical="center" wrapText="1"/>
    </xf>
    <xf numFmtId="4" fontId="18" fillId="0" borderId="19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Alignment="1">
      <alignment horizontal="left" wrapText="1"/>
    </xf>
    <xf numFmtId="4" fontId="19" fillId="0" borderId="0" xfId="0" applyNumberFormat="1" applyFont="1" applyAlignment="1">
      <alignment horizontal="left" wrapText="1"/>
    </xf>
    <xf numFmtId="4" fontId="19" fillId="0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 readingOrder="1"/>
    </xf>
    <xf numFmtId="2" fontId="5" fillId="0" borderId="1" xfId="0" applyNumberFormat="1" applyFont="1" applyFill="1" applyBorder="1" applyAlignment="1">
      <alignment horizontal="center" vertical="center" wrapText="1" readingOrder="1"/>
    </xf>
    <xf numFmtId="165" fontId="5" fillId="0" borderId="1" xfId="0" applyNumberFormat="1" applyFont="1" applyFill="1" applyBorder="1" applyAlignment="1">
      <alignment horizontal="center" vertical="center" wrapText="1" readingOrder="1"/>
    </xf>
    <xf numFmtId="0" fontId="22" fillId="0" borderId="1" xfId="0" applyFont="1" applyFill="1" applyBorder="1" applyAlignment="1">
      <alignment horizontal="left"/>
    </xf>
    <xf numFmtId="0" fontId="22" fillId="0" borderId="1" xfId="0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 wrapText="1" readingOrder="1"/>
    </xf>
    <xf numFmtId="0" fontId="0" fillId="0" borderId="1" xfId="0" applyFont="1" applyBorder="1" applyAlignment="1">
      <alignment horizontal="left"/>
    </xf>
    <xf numFmtId="0" fontId="0" fillId="0" borderId="1" xfId="0" applyFont="1" applyBorder="1"/>
    <xf numFmtId="4" fontId="22" fillId="0" borderId="1" xfId="0" applyNumberFormat="1" applyFont="1" applyFill="1" applyBorder="1" applyAlignment="1">
      <alignment horizontal="center"/>
    </xf>
    <xf numFmtId="2" fontId="10" fillId="4" borderId="1" xfId="0" applyNumberFormat="1" applyFont="1" applyFill="1" applyBorder="1" applyAlignment="1">
      <alignment horizontal="center" vertical="center" wrapText="1" readingOrder="1"/>
    </xf>
    <xf numFmtId="4" fontId="22" fillId="5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 wrapText="1" readingOrder="1"/>
    </xf>
    <xf numFmtId="4" fontId="12" fillId="0" borderId="1" xfId="0" applyNumberFormat="1" applyFont="1" applyFill="1" applyBorder="1" applyAlignment="1">
      <alignment horizontal="center" vertical="center" wrapText="1" readingOrder="1"/>
    </xf>
    <xf numFmtId="4" fontId="5" fillId="0" borderId="1" xfId="0" applyNumberFormat="1" applyFont="1" applyFill="1" applyBorder="1" applyAlignment="1">
      <alignment horizontal="justify" vertical="center" wrapText="1" readingOrder="1"/>
    </xf>
    <xf numFmtId="0" fontId="22" fillId="5" borderId="2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4" fontId="0" fillId="0" borderId="0" xfId="0" applyNumberFormat="1" applyFont="1"/>
    <xf numFmtId="9" fontId="5" fillId="0" borderId="1" xfId="0" applyNumberFormat="1" applyFont="1" applyFill="1" applyBorder="1" applyAlignment="1">
      <alignment horizontal="center" vertical="center" wrapText="1" readingOrder="1"/>
    </xf>
    <xf numFmtId="4" fontId="5" fillId="4" borderId="1" xfId="0" applyNumberFormat="1" applyFont="1" applyFill="1" applyBorder="1" applyAlignment="1">
      <alignment horizontal="center" vertical="center" wrapText="1" readingOrder="1"/>
    </xf>
    <xf numFmtId="4" fontId="22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readingOrder="1"/>
    </xf>
    <xf numFmtId="4" fontId="5" fillId="6" borderId="1" xfId="0" applyNumberFormat="1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horizontal="left" vertical="center" readingOrder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readingOrder="1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right" vertical="center" wrapText="1" readingOrder="1"/>
    </xf>
    <xf numFmtId="0" fontId="2" fillId="2" borderId="3" xfId="0" applyFont="1" applyFill="1" applyBorder="1" applyAlignment="1">
      <alignment horizontal="right" vertical="center" wrapText="1" readingOrder="1"/>
    </xf>
    <xf numFmtId="0" fontId="2" fillId="2" borderId="4" xfId="0" applyFont="1" applyFill="1" applyBorder="1" applyAlignment="1">
      <alignment horizontal="right" vertical="center" wrapText="1" readingOrder="1"/>
    </xf>
    <xf numFmtId="0" fontId="5" fillId="2" borderId="6" xfId="0" applyFont="1" applyFill="1" applyBorder="1" applyAlignment="1">
      <alignment horizontal="center" vertical="center" wrapText="1" readingOrder="1"/>
    </xf>
    <xf numFmtId="0" fontId="5" fillId="2" borderId="18" xfId="0" applyFont="1" applyFill="1" applyBorder="1" applyAlignment="1">
      <alignment horizontal="center" vertical="center" wrapText="1" readingOrder="1"/>
    </xf>
    <xf numFmtId="0" fontId="5" fillId="2" borderId="7" xfId="0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right" vertical="center" wrapText="1" readingOrder="1"/>
    </xf>
    <xf numFmtId="0" fontId="2" fillId="0" borderId="0" xfId="0" applyFont="1" applyBorder="1" applyAlignment="1">
      <alignment horizontal="center" vertical="center" wrapText="1" readingOrder="1"/>
    </xf>
    <xf numFmtId="0" fontId="2" fillId="2" borderId="14" xfId="0" applyFont="1" applyFill="1" applyBorder="1" applyAlignment="1">
      <alignment horizontal="right" vertical="center" wrapText="1" readingOrder="1"/>
    </xf>
    <xf numFmtId="0" fontId="2" fillId="2" borderId="15" xfId="0" applyFont="1" applyFill="1" applyBorder="1" applyAlignment="1">
      <alignment horizontal="right" vertical="center" wrapText="1" readingOrder="1"/>
    </xf>
    <xf numFmtId="0" fontId="2" fillId="2" borderId="16" xfId="0" applyFont="1" applyFill="1" applyBorder="1" applyAlignment="1">
      <alignment horizontal="right" vertical="center" wrapText="1" readingOrder="1"/>
    </xf>
    <xf numFmtId="0" fontId="8" fillId="0" borderId="0" xfId="0" applyFont="1" applyAlignment="1">
      <alignment horizontal="center" vertical="center" wrapText="1" readingOrder="1"/>
    </xf>
    <xf numFmtId="0" fontId="23" fillId="0" borderId="0" xfId="0" applyFont="1" applyAlignment="1">
      <alignment horizontal="center"/>
    </xf>
    <xf numFmtId="0" fontId="2" fillId="2" borderId="1" xfId="0" applyFont="1" applyFill="1" applyBorder="1" applyAlignment="1">
      <alignment horizontal="right" vertical="center" wrapText="1" readingOrder="1"/>
    </xf>
    <xf numFmtId="0" fontId="5" fillId="0" borderId="0" xfId="0" applyFont="1" applyAlignment="1">
      <alignment horizontal="left" vertical="center" wrapText="1" readingOrder="1"/>
    </xf>
    <xf numFmtId="0" fontId="14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horizontal="center" vertical="center" readingOrder="1"/>
    </xf>
    <xf numFmtId="4" fontId="2" fillId="0" borderId="1" xfId="0" applyNumberFormat="1" applyFont="1" applyFill="1" applyBorder="1" applyAlignment="1">
      <alignment horizontal="right" vertical="center" wrapText="1" readingOrder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i/AppData/Local/Microsoft/Windows/Temporary%20Internet%20Files/Content.Outlook/ZYTF93J3/&#1056;&#1072;&#1089;&#1095;&#1077;&#1090;%201%20&#1085;&#1086;&#1088;&#1084;&#1072;&#1090;&#1080;&#1074;&#1072;%20&#1079;&#1072;&#1090;&#1088;&#1072;&#1090;%20&#1092;&#1077;&#1076;.%20%20&#1087;&#1088;&#1077;&#1076;&#1087;&#1088;&#1086;&#1092;&#1077;&#1089;&#1080;&#1086;&#1085;&#1072;&#1083;&#1100;&#1085;&#1086;&#1081;%20&#1069;&#1056;&#1044;&#1064;&#104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УСЛУГА "/>
      <sheetName val="общие сведения"/>
      <sheetName val="211,213 непосред. связан. усл"/>
      <sheetName val="211,213 не связанные с оказ усл"/>
      <sheetName val="мат запасы и ОЦДИ"/>
      <sheetName val="иные затраты"/>
      <sheetName val="комунальные услуги"/>
      <sheetName val="затраты на содер недвиж имущ"/>
      <sheetName val="221, на содер ОЦДИ"/>
      <sheetName val="222 (транст)"/>
      <sheetName val="общехоз нужды"/>
      <sheetName val="Лист12"/>
    </sheetNames>
    <sheetDataSet>
      <sheetData sheetId="0"/>
      <sheetData sheetId="1"/>
      <sheetData sheetId="2">
        <row r="22">
          <cell r="C22">
            <v>335694.56279999996</v>
          </cell>
        </row>
      </sheetData>
      <sheetData sheetId="3">
        <row r="16">
          <cell r="C16">
            <v>534071.12688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opLeftCell="A16" workbookViewId="0">
      <selection activeCell="F22" sqref="F22"/>
    </sheetView>
  </sheetViews>
  <sheetFormatPr defaultRowHeight="15"/>
  <cols>
    <col min="1" max="1" width="31.85546875" customWidth="1"/>
    <col min="2" max="2" width="44.28515625" customWidth="1"/>
    <col min="3" max="3" width="26" customWidth="1"/>
    <col min="4" max="4" width="12.7109375" customWidth="1"/>
    <col min="5" max="5" width="13" customWidth="1"/>
    <col min="6" max="6" width="17.28515625" customWidth="1"/>
  </cols>
  <sheetData>
    <row r="1" spans="1:7">
      <c r="B1" s="94" t="s">
        <v>15</v>
      </c>
      <c r="C1" s="94"/>
      <c r="D1" s="94"/>
      <c r="E1" s="94"/>
      <c r="F1" s="94"/>
    </row>
    <row r="2" spans="1:7">
      <c r="B2" s="95"/>
      <c r="C2" s="95"/>
      <c r="D2" s="95"/>
      <c r="E2" s="95"/>
      <c r="F2" s="95"/>
      <c r="G2" s="1"/>
    </row>
    <row r="3" spans="1:7" ht="31.5" customHeight="1">
      <c r="A3" s="96" t="s">
        <v>77</v>
      </c>
      <c r="B3" s="96" t="s">
        <v>78</v>
      </c>
      <c r="C3" s="111" t="s">
        <v>12</v>
      </c>
      <c r="D3" s="112"/>
      <c r="E3" s="112"/>
      <c r="F3" s="113"/>
      <c r="G3" s="1"/>
    </row>
    <row r="4" spans="1:7" ht="21" customHeight="1">
      <c r="A4" s="97"/>
      <c r="B4" s="97"/>
      <c r="C4" s="110" t="s">
        <v>82</v>
      </c>
      <c r="D4" s="110"/>
      <c r="E4" s="3" t="s">
        <v>0</v>
      </c>
      <c r="F4" s="3" t="s">
        <v>1</v>
      </c>
      <c r="G4" s="1"/>
    </row>
    <row r="5" spans="1:7" ht="17.25" customHeight="1">
      <c r="A5" s="101" t="s">
        <v>126</v>
      </c>
      <c r="B5" s="98" t="s">
        <v>79</v>
      </c>
      <c r="C5" s="104" t="s">
        <v>73</v>
      </c>
      <c r="D5" s="105"/>
      <c r="E5" s="105"/>
      <c r="F5" s="106"/>
      <c r="G5" s="1"/>
    </row>
    <row r="6" spans="1:7" ht="27.75" customHeight="1">
      <c r="A6" s="102"/>
      <c r="B6" s="99"/>
      <c r="C6" s="107" t="s">
        <v>80</v>
      </c>
      <c r="D6" s="108"/>
      <c r="E6" s="108"/>
      <c r="F6" s="109"/>
      <c r="G6" s="1"/>
    </row>
    <row r="7" spans="1:7" ht="15.75">
      <c r="A7" s="102"/>
      <c r="B7" s="99"/>
      <c r="C7" s="104" t="s">
        <v>83</v>
      </c>
      <c r="D7" s="106"/>
      <c r="E7" s="3" t="s">
        <v>81</v>
      </c>
      <c r="F7" s="39">
        <f>'211,213 непосред. связан. усл'!I20</f>
        <v>571047.80391980428</v>
      </c>
      <c r="G7" s="1"/>
    </row>
    <row r="8" spans="1:7" ht="19.5" customHeight="1">
      <c r="A8" s="102"/>
      <c r="B8" s="99"/>
      <c r="C8" s="107" t="s">
        <v>2</v>
      </c>
      <c r="D8" s="108"/>
      <c r="E8" s="108"/>
      <c r="F8" s="109"/>
      <c r="G8" s="1"/>
    </row>
    <row r="9" spans="1:7" ht="21.75" customHeight="1">
      <c r="A9" s="102"/>
      <c r="B9" s="99"/>
      <c r="C9" s="104"/>
      <c r="D9" s="106"/>
      <c r="E9" s="38"/>
      <c r="F9" s="44">
        <f>'мат запасы и ОЦДИ'!H7</f>
        <v>0</v>
      </c>
      <c r="G9" s="1"/>
    </row>
    <row r="10" spans="1:7" ht="26.25" customHeight="1">
      <c r="A10" s="102"/>
      <c r="B10" s="99"/>
      <c r="C10" s="107" t="s">
        <v>3</v>
      </c>
      <c r="D10" s="108"/>
      <c r="E10" s="108"/>
      <c r="F10" s="109"/>
      <c r="G10" s="1"/>
    </row>
    <row r="11" spans="1:7" ht="26.25" customHeight="1">
      <c r="A11" s="102"/>
      <c r="B11" s="99"/>
      <c r="C11" s="104"/>
      <c r="D11" s="106"/>
      <c r="E11" s="4"/>
      <c r="F11" s="39">
        <f>'иные затраты'!H9</f>
        <v>0</v>
      </c>
      <c r="G11" s="1"/>
    </row>
    <row r="12" spans="1:7" ht="30" customHeight="1">
      <c r="A12" s="102"/>
      <c r="B12" s="99"/>
      <c r="C12" s="107" t="s">
        <v>4</v>
      </c>
      <c r="D12" s="108"/>
      <c r="E12" s="108"/>
      <c r="F12" s="109"/>
      <c r="G12" s="1"/>
    </row>
    <row r="13" spans="1:7" ht="31.5" customHeight="1">
      <c r="A13" s="102"/>
      <c r="B13" s="99"/>
      <c r="C13" s="114" t="s">
        <v>5</v>
      </c>
      <c r="D13" s="114"/>
      <c r="E13" s="114"/>
      <c r="F13" s="114"/>
      <c r="G13" s="1"/>
    </row>
    <row r="14" spans="1:7" ht="31.5" customHeight="1">
      <c r="A14" s="102"/>
      <c r="B14" s="99"/>
      <c r="C14" s="104"/>
      <c r="D14" s="106"/>
      <c r="E14" s="4"/>
      <c r="F14" s="39">
        <f>'комунальные услуги'!H12</f>
        <v>21473.318776209675</v>
      </c>
      <c r="G14" s="1"/>
    </row>
    <row r="15" spans="1:7" ht="30.75" customHeight="1">
      <c r="A15" s="102"/>
      <c r="B15" s="99"/>
      <c r="C15" s="114" t="s">
        <v>6</v>
      </c>
      <c r="D15" s="114"/>
      <c r="E15" s="114"/>
      <c r="F15" s="114"/>
      <c r="G15" s="1"/>
    </row>
    <row r="16" spans="1:7" ht="21" customHeight="1">
      <c r="A16" s="102"/>
      <c r="B16" s="99"/>
      <c r="C16" s="104" t="s">
        <v>84</v>
      </c>
      <c r="D16" s="106"/>
      <c r="E16" s="4" t="s">
        <v>85</v>
      </c>
      <c r="F16" s="39">
        <v>0</v>
      </c>
      <c r="G16" s="1"/>
    </row>
    <row r="17" spans="1:7" ht="17.25" customHeight="1">
      <c r="A17" s="102"/>
      <c r="B17" s="99"/>
      <c r="C17" s="114" t="s">
        <v>7</v>
      </c>
      <c r="D17" s="114"/>
      <c r="E17" s="114"/>
      <c r="F17" s="114"/>
      <c r="G17" s="1"/>
    </row>
    <row r="18" spans="1:7" ht="21" customHeight="1">
      <c r="A18" s="102"/>
      <c r="B18" s="99"/>
      <c r="C18" s="104"/>
      <c r="D18" s="106"/>
      <c r="E18" s="4"/>
      <c r="F18" s="39">
        <v>0</v>
      </c>
      <c r="G18" s="1"/>
    </row>
    <row r="19" spans="1:7" ht="14.25" customHeight="1">
      <c r="A19" s="102"/>
      <c r="B19" s="99"/>
      <c r="C19" s="114" t="s">
        <v>8</v>
      </c>
      <c r="D19" s="114"/>
      <c r="E19" s="114"/>
      <c r="F19" s="114"/>
      <c r="G19" s="1"/>
    </row>
    <row r="20" spans="1:7" ht="21.75" customHeight="1">
      <c r="A20" s="102"/>
      <c r="B20" s="99"/>
      <c r="C20" s="104"/>
      <c r="D20" s="106"/>
      <c r="E20" s="4"/>
      <c r="F20" s="39">
        <f>'221, на содер ОЦДИ'!I19</f>
        <v>2374365528.9210439</v>
      </c>
      <c r="G20" s="1"/>
    </row>
    <row r="21" spans="1:7" ht="14.25" customHeight="1">
      <c r="A21" s="102"/>
      <c r="B21" s="99"/>
      <c r="C21" s="114" t="s">
        <v>9</v>
      </c>
      <c r="D21" s="114"/>
      <c r="E21" s="114"/>
      <c r="F21" s="114"/>
      <c r="G21" s="1"/>
    </row>
    <row r="22" spans="1:7" ht="15" customHeight="1">
      <c r="A22" s="102"/>
      <c r="B22" s="99"/>
      <c r="C22" s="104"/>
      <c r="D22" s="106"/>
      <c r="E22" s="4"/>
      <c r="F22" s="39">
        <f>'222 (транст)'!H7</f>
        <v>498424780.94117641</v>
      </c>
      <c r="G22" s="1"/>
    </row>
    <row r="23" spans="1:7" ht="21" customHeight="1">
      <c r="A23" s="102"/>
      <c r="B23" s="99"/>
      <c r="C23" s="114" t="s">
        <v>10</v>
      </c>
      <c r="D23" s="114"/>
      <c r="E23" s="114"/>
      <c r="F23" s="114"/>
      <c r="G23" s="1"/>
    </row>
    <row r="24" spans="1:7" ht="18" customHeight="1">
      <c r="A24" s="102"/>
      <c r="B24" s="99"/>
      <c r="C24" s="104"/>
      <c r="D24" s="106"/>
      <c r="E24" s="4"/>
      <c r="F24" s="39">
        <f>'211,213 не связанные с оказ усл'!I15</f>
        <v>243496.77046275226</v>
      </c>
      <c r="G24" s="1"/>
    </row>
    <row r="25" spans="1:7" ht="21" customHeight="1">
      <c r="A25" s="103"/>
      <c r="B25" s="100"/>
      <c r="C25" s="114" t="s">
        <v>11</v>
      </c>
      <c r="D25" s="114"/>
      <c r="E25" s="114"/>
      <c r="F25" s="114"/>
    </row>
    <row r="26" spans="1:7" ht="15.75">
      <c r="A26" s="38"/>
      <c r="B26" s="53"/>
      <c r="C26" s="104"/>
      <c r="D26" s="106"/>
      <c r="E26" s="4"/>
      <c r="F26" s="39">
        <v>0</v>
      </c>
    </row>
    <row r="27" spans="1:7" hidden="1"/>
    <row r="28" spans="1:7" ht="25.5">
      <c r="B28" s="47" t="s">
        <v>74</v>
      </c>
      <c r="C28" s="43">
        <f>F7+F9+F11</f>
        <v>571047.80391980428</v>
      </c>
    </row>
    <row r="29" spans="1:7">
      <c r="B29" s="49"/>
      <c r="C29" s="46"/>
      <c r="D29" s="45"/>
      <c r="E29" s="45"/>
      <c r="F29" s="45"/>
    </row>
    <row r="30" spans="1:7" hidden="1">
      <c r="B30" s="50"/>
    </row>
    <row r="31" spans="1:7" ht="24">
      <c r="B31" s="48" t="s">
        <v>75</v>
      </c>
      <c r="C31" s="43">
        <f>F14+F16+F18+F20+F22+F24+F26</f>
        <v>2873055279.9514594</v>
      </c>
    </row>
    <row r="32" spans="1:7">
      <c r="B32" s="52"/>
      <c r="C32" s="43"/>
    </row>
    <row r="33" spans="2:3" hidden="1">
      <c r="B33" s="50"/>
    </row>
    <row r="34" spans="2:3" ht="24.75">
      <c r="B34" s="51" t="s">
        <v>76</v>
      </c>
      <c r="C34" s="43">
        <f>C28+C31</f>
        <v>2873626327.7553792</v>
      </c>
    </row>
    <row r="35" spans="2:3">
      <c r="C35" s="43"/>
    </row>
  </sheetData>
  <mergeCells count="29">
    <mergeCell ref="C25:F25"/>
    <mergeCell ref="C26:D26"/>
    <mergeCell ref="C24:D24"/>
    <mergeCell ref="C22:D22"/>
    <mergeCell ref="C14:D14"/>
    <mergeCell ref="C15:F15"/>
    <mergeCell ref="C16:D16"/>
    <mergeCell ref="C17:F17"/>
    <mergeCell ref="C19:F19"/>
    <mergeCell ref="C18:D18"/>
    <mergeCell ref="C21:F21"/>
    <mergeCell ref="C23:F23"/>
    <mergeCell ref="C20:D20"/>
    <mergeCell ref="B1:F2"/>
    <mergeCell ref="B3:B4"/>
    <mergeCell ref="A3:A4"/>
    <mergeCell ref="B5:B25"/>
    <mergeCell ref="A5:A25"/>
    <mergeCell ref="C5:F5"/>
    <mergeCell ref="C12:F12"/>
    <mergeCell ref="C6:F6"/>
    <mergeCell ref="C7:D7"/>
    <mergeCell ref="C4:D4"/>
    <mergeCell ref="C3:F3"/>
    <mergeCell ref="C8:F8"/>
    <mergeCell ref="C9:D9"/>
    <mergeCell ref="C11:D11"/>
    <mergeCell ref="C10:F10"/>
    <mergeCell ref="C13:F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9"/>
  <sheetViews>
    <sheetView tabSelected="1" workbookViewId="0">
      <selection activeCell="C5" sqref="C5"/>
    </sheetView>
  </sheetViews>
  <sheetFormatPr defaultRowHeight="15"/>
  <cols>
    <col min="1" max="1" width="20.140625" style="26" customWidth="1"/>
    <col min="2" max="2" width="9.140625" style="26"/>
    <col min="3" max="3" width="10.140625" style="26" customWidth="1"/>
    <col min="4" max="4" width="13.28515625" style="26" customWidth="1"/>
    <col min="5" max="5" width="9.140625" style="26"/>
    <col min="6" max="6" width="14" style="26" customWidth="1"/>
    <col min="7" max="7" width="12.42578125" style="26" customWidth="1"/>
    <col min="8" max="8" width="15.42578125" style="26" customWidth="1"/>
    <col min="9" max="16384" width="9.140625" style="26"/>
  </cols>
  <sheetData>
    <row r="1" spans="1:8">
      <c r="A1" s="141" t="s">
        <v>61</v>
      </c>
      <c r="B1" s="141"/>
      <c r="C1" s="141"/>
      <c r="D1" s="141"/>
      <c r="E1" s="141"/>
      <c r="F1" s="141"/>
      <c r="G1" s="141"/>
      <c r="H1" s="141"/>
    </row>
    <row r="3" spans="1:8" ht="111.75" customHeight="1">
      <c r="A3" s="23" t="s">
        <v>62</v>
      </c>
      <c r="B3" s="23" t="s">
        <v>30</v>
      </c>
      <c r="C3" s="23" t="s">
        <v>44</v>
      </c>
      <c r="D3" s="23" t="s">
        <v>45</v>
      </c>
      <c r="E3" s="23" t="s">
        <v>87</v>
      </c>
      <c r="F3" s="23" t="s">
        <v>55</v>
      </c>
      <c r="G3" s="23" t="s">
        <v>47</v>
      </c>
      <c r="H3" s="23" t="s">
        <v>24</v>
      </c>
    </row>
    <row r="4" spans="1:8" ht="20.25" customHeight="1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 t="s">
        <v>51</v>
      </c>
      <c r="G4" s="23">
        <v>7</v>
      </c>
      <c r="H4" s="23" t="s">
        <v>52</v>
      </c>
    </row>
    <row r="5" spans="1:8" ht="45.75" customHeight="1">
      <c r="A5" s="29" t="s">
        <v>105</v>
      </c>
      <c r="B5" s="79"/>
      <c r="C5" s="25">
        <f>576292*39/100</f>
        <v>224753.88</v>
      </c>
      <c r="D5" s="25">
        <v>68</v>
      </c>
      <c r="E5" s="57">
        <v>11.6</v>
      </c>
      <c r="F5" s="79">
        <f>C5/D5*E5</f>
        <v>38340.367764705879</v>
      </c>
      <c r="G5" s="25">
        <v>13000</v>
      </c>
      <c r="H5" s="25">
        <f>F5*G5</f>
        <v>498424780.94117641</v>
      </c>
    </row>
    <row r="6" spans="1:8" ht="30" customHeight="1">
      <c r="A6" s="29" t="s">
        <v>159</v>
      </c>
      <c r="B6" s="79"/>
      <c r="C6" s="25">
        <f>34600*39/100</f>
        <v>13494</v>
      </c>
      <c r="D6" s="25">
        <v>68</v>
      </c>
      <c r="E6" s="57">
        <v>11.6</v>
      </c>
      <c r="F6" s="79">
        <f>C6/D6*E6</f>
        <v>2301.9176470588236</v>
      </c>
      <c r="G6" s="25"/>
      <c r="H6" s="25">
        <f>F6*G6</f>
        <v>0</v>
      </c>
    </row>
    <row r="7" spans="1:8">
      <c r="A7" s="131" t="s">
        <v>63</v>
      </c>
      <c r="B7" s="131"/>
      <c r="C7" s="131"/>
      <c r="D7" s="131"/>
      <c r="E7" s="131"/>
      <c r="F7" s="131"/>
      <c r="G7" s="131"/>
      <c r="H7" s="68">
        <f>H5+H6</f>
        <v>498424780.94117641</v>
      </c>
    </row>
    <row r="9" spans="1:8">
      <c r="C9" s="43">
        <f>SUM(C6+C5)</f>
        <v>238247.88</v>
      </c>
    </row>
  </sheetData>
  <mergeCells count="2">
    <mergeCell ref="A7:G7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C10" sqref="C10"/>
    </sheetView>
  </sheetViews>
  <sheetFormatPr defaultRowHeight="15"/>
  <cols>
    <col min="1" max="1" width="29.42578125" style="26" customWidth="1"/>
    <col min="2" max="2" width="8.85546875" style="26" customWidth="1"/>
    <col min="3" max="3" width="12.28515625" style="26" customWidth="1"/>
    <col min="4" max="4" width="14" style="26" customWidth="1"/>
    <col min="5" max="5" width="13.5703125" style="26" customWidth="1"/>
    <col min="6" max="6" width="13" style="26" customWidth="1"/>
    <col min="7" max="7" width="10" style="26" bestFit="1" customWidth="1"/>
    <col min="8" max="8" width="15" style="26" customWidth="1"/>
    <col min="9" max="16384" width="9.140625" style="26"/>
  </cols>
  <sheetData>
    <row r="1" spans="1:8">
      <c r="A1" s="141" t="s">
        <v>67</v>
      </c>
      <c r="B1" s="141"/>
      <c r="C1" s="141"/>
      <c r="D1" s="141"/>
      <c r="E1" s="141"/>
      <c r="F1" s="141"/>
      <c r="G1" s="141"/>
      <c r="H1" s="141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 ht="111.75" customHeight="1">
      <c r="A3" s="28" t="s">
        <v>68</v>
      </c>
      <c r="B3" s="28" t="s">
        <v>30</v>
      </c>
      <c r="C3" s="28" t="s">
        <v>44</v>
      </c>
      <c r="D3" s="28" t="s">
        <v>45</v>
      </c>
      <c r="E3" s="28" t="s">
        <v>50</v>
      </c>
      <c r="F3" s="28" t="s">
        <v>55</v>
      </c>
      <c r="G3" s="28" t="s">
        <v>47</v>
      </c>
      <c r="H3" s="28" t="s">
        <v>24</v>
      </c>
    </row>
    <row r="4" spans="1:8" ht="18.75" customHeight="1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 t="s">
        <v>51</v>
      </c>
      <c r="G4" s="23">
        <v>7</v>
      </c>
      <c r="H4" s="23" t="s">
        <v>52</v>
      </c>
    </row>
    <row r="5" spans="1:8" ht="18" customHeight="1">
      <c r="A5" s="70" t="s">
        <v>136</v>
      </c>
      <c r="B5" s="79"/>
      <c r="C5" s="25">
        <f>320128.56*39/100</f>
        <v>124850.1384</v>
      </c>
      <c r="D5" s="79">
        <v>68</v>
      </c>
      <c r="E5" s="79">
        <v>11.6</v>
      </c>
      <c r="F5" s="25">
        <f t="shared" ref="F5:F8" si="0">C5/D5*5</f>
        <v>9180.1572352941166</v>
      </c>
      <c r="G5" s="79"/>
      <c r="H5" s="25">
        <f t="shared" ref="H5:H8" si="1">F5*G5</f>
        <v>0</v>
      </c>
    </row>
    <row r="6" spans="1:8" ht="36" customHeight="1">
      <c r="A6" s="79" t="s">
        <v>137</v>
      </c>
      <c r="B6" s="79"/>
      <c r="C6" s="25">
        <f>232900*39/100</f>
        <v>90831</v>
      </c>
      <c r="D6" s="85">
        <v>68</v>
      </c>
      <c r="E6" s="85">
        <v>11.6</v>
      </c>
      <c r="F6" s="25">
        <f t="shared" si="0"/>
        <v>6678.75</v>
      </c>
      <c r="G6" s="79"/>
      <c r="H6" s="25">
        <f t="shared" si="1"/>
        <v>0</v>
      </c>
    </row>
    <row r="7" spans="1:8" ht="18.75" customHeight="1">
      <c r="A7" s="79"/>
      <c r="B7" s="79"/>
      <c r="C7" s="25"/>
      <c r="D7" s="85">
        <v>68</v>
      </c>
      <c r="E7" s="85">
        <v>11.6</v>
      </c>
      <c r="F7" s="25">
        <f t="shared" si="0"/>
        <v>0</v>
      </c>
      <c r="G7" s="79"/>
      <c r="H7" s="25">
        <f t="shared" si="1"/>
        <v>0</v>
      </c>
    </row>
    <row r="8" spans="1:8" ht="45.75" customHeight="1">
      <c r="A8" s="92" t="s">
        <v>160</v>
      </c>
      <c r="B8" s="79"/>
      <c r="C8" s="25">
        <f>73000*39/100</f>
        <v>28470</v>
      </c>
      <c r="D8" s="85">
        <v>68</v>
      </c>
      <c r="E8" s="85">
        <v>11.6</v>
      </c>
      <c r="F8" s="25">
        <f t="shared" si="0"/>
        <v>2093.3823529411766</v>
      </c>
      <c r="G8" s="79"/>
      <c r="H8" s="25">
        <f t="shared" si="1"/>
        <v>0</v>
      </c>
    </row>
    <row r="9" spans="1:8" ht="30">
      <c r="A9" s="79" t="s">
        <v>138</v>
      </c>
      <c r="B9" s="25"/>
      <c r="C9" s="25">
        <f>262255.46*39/100</f>
        <v>102279.62940000002</v>
      </c>
      <c r="D9" s="85">
        <v>68</v>
      </c>
      <c r="E9" s="85">
        <v>11.6</v>
      </c>
      <c r="F9" s="25">
        <f>C9/D9*5</f>
        <v>7520.5609852941188</v>
      </c>
      <c r="G9" s="25"/>
      <c r="H9" s="25">
        <f>F9*G9</f>
        <v>0</v>
      </c>
    </row>
    <row r="10" spans="1:8">
      <c r="A10" s="85" t="s">
        <v>144</v>
      </c>
      <c r="B10" s="25"/>
      <c r="C10" s="25">
        <f>82500*39/100</f>
        <v>32175</v>
      </c>
      <c r="D10" s="85">
        <v>68</v>
      </c>
      <c r="E10" s="85">
        <v>11.6</v>
      </c>
      <c r="F10" s="25">
        <f>C10/D10*5</f>
        <v>2365.8088235294117</v>
      </c>
      <c r="G10" s="25"/>
      <c r="H10" s="25">
        <f>F10*G10</f>
        <v>0</v>
      </c>
    </row>
    <row r="11" spans="1:8">
      <c r="A11" s="142" t="s">
        <v>69</v>
      </c>
      <c r="B11" s="142"/>
      <c r="C11" s="142"/>
      <c r="D11" s="142"/>
      <c r="E11" s="142"/>
      <c r="F11" s="142"/>
      <c r="G11" s="142"/>
      <c r="H11" s="69">
        <f>H10</f>
        <v>0</v>
      </c>
    </row>
    <row r="12" spans="1:8">
      <c r="C12" s="43">
        <f>SUM(C5:C10)</f>
        <v>378605.76780000003</v>
      </c>
    </row>
  </sheetData>
  <mergeCells count="2">
    <mergeCell ref="A1:H1"/>
    <mergeCell ref="A11:G1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topLeftCell="A10" workbookViewId="0">
      <selection activeCell="G16" sqref="G16"/>
    </sheetView>
  </sheetViews>
  <sheetFormatPr defaultRowHeight="15"/>
  <cols>
    <col min="1" max="1" width="26.140625" customWidth="1"/>
    <col min="2" max="2" width="13.140625" customWidth="1"/>
    <col min="3" max="3" width="34.28515625" customWidth="1"/>
    <col min="4" max="4" width="14.7109375" customWidth="1"/>
  </cols>
  <sheetData>
    <row r="1" spans="1:5" s="5" customFormat="1" ht="33.75" customHeight="1">
      <c r="A1" s="117" t="s">
        <v>95</v>
      </c>
      <c r="B1" s="117"/>
      <c r="C1" s="117"/>
      <c r="D1" s="117"/>
    </row>
    <row r="2" spans="1:5" s="5" customFormat="1" ht="39" customHeight="1">
      <c r="A2" s="117" t="s">
        <v>124</v>
      </c>
      <c r="B2" s="117"/>
      <c r="C2" s="117"/>
      <c r="D2" s="117"/>
    </row>
    <row r="3" spans="1:5" s="5" customFormat="1" ht="24" hidden="1" customHeight="1">
      <c r="A3" s="117" t="s">
        <v>16</v>
      </c>
      <c r="B3" s="117"/>
      <c r="C3" s="117"/>
      <c r="D3" s="117"/>
    </row>
    <row r="4" spans="1:5" s="5" customFormat="1" ht="24" customHeight="1">
      <c r="A4" s="117" t="s">
        <v>125</v>
      </c>
      <c r="B4" s="117"/>
      <c r="C4" s="117"/>
      <c r="D4" s="117"/>
    </row>
    <row r="5" spans="1:5" s="5" customFormat="1" ht="39.75" customHeight="1">
      <c r="A5" s="118" t="s">
        <v>145</v>
      </c>
      <c r="B5" s="118"/>
      <c r="C5" s="118"/>
      <c r="D5" s="118"/>
    </row>
    <row r="6" spans="1:5" s="5" customFormat="1" ht="24" customHeight="1">
      <c r="A6" s="119" t="s">
        <v>96</v>
      </c>
      <c r="B6" s="119"/>
      <c r="C6" s="119"/>
      <c r="D6" s="119"/>
    </row>
    <row r="7" spans="1:5" ht="41.25" customHeight="1">
      <c r="A7" s="120" t="s">
        <v>17</v>
      </c>
      <c r="B7" s="120" t="s">
        <v>13</v>
      </c>
      <c r="C7" s="120" t="s">
        <v>14</v>
      </c>
      <c r="D7" s="120" t="s">
        <v>13</v>
      </c>
      <c r="E7" s="1"/>
    </row>
    <row r="8" spans="1:5" ht="30" customHeight="1">
      <c r="A8" s="121"/>
      <c r="B8" s="121"/>
      <c r="C8" s="121"/>
      <c r="D8" s="121"/>
      <c r="E8" s="1"/>
    </row>
    <row r="9" spans="1:5" ht="30" customHeight="1">
      <c r="A9" s="54" t="s">
        <v>99</v>
      </c>
      <c r="B9" s="2">
        <v>7</v>
      </c>
      <c r="C9" s="33" t="s">
        <v>110</v>
      </c>
      <c r="D9" s="2">
        <v>0.39</v>
      </c>
      <c r="E9" s="1"/>
    </row>
    <row r="10" spans="1:5" ht="23.25" customHeight="1">
      <c r="A10" s="76" t="s">
        <v>106</v>
      </c>
      <c r="B10" s="2">
        <v>0.39</v>
      </c>
      <c r="C10" s="33" t="s">
        <v>109</v>
      </c>
      <c r="D10" s="2">
        <v>0.39</v>
      </c>
      <c r="E10" s="1"/>
    </row>
    <row r="11" spans="1:5" ht="59.25" customHeight="1">
      <c r="A11" s="54" t="s">
        <v>97</v>
      </c>
      <c r="B11" s="2">
        <v>0.39</v>
      </c>
      <c r="C11" s="33" t="s">
        <v>111</v>
      </c>
      <c r="D11" s="2">
        <v>0.19</v>
      </c>
      <c r="E11" s="1"/>
    </row>
    <row r="12" spans="1:5" ht="30" customHeight="1">
      <c r="A12" s="54" t="s">
        <v>100</v>
      </c>
      <c r="B12" s="2">
        <v>2</v>
      </c>
      <c r="C12" s="33" t="s">
        <v>112</v>
      </c>
      <c r="D12" s="2">
        <v>0.39</v>
      </c>
      <c r="E12" s="1"/>
    </row>
    <row r="13" spans="1:5" ht="30.75" customHeight="1">
      <c r="A13" s="54" t="s">
        <v>101</v>
      </c>
      <c r="B13" s="2">
        <v>0.39</v>
      </c>
      <c r="C13" s="54" t="s">
        <v>98</v>
      </c>
      <c r="D13" s="2">
        <v>0.39</v>
      </c>
      <c r="E13" s="1"/>
    </row>
    <row r="14" spans="1:5" ht="30" customHeight="1">
      <c r="A14" s="115" t="s">
        <v>107</v>
      </c>
      <c r="B14" s="116">
        <v>0.39</v>
      </c>
      <c r="C14" s="33" t="s">
        <v>102</v>
      </c>
      <c r="D14" s="2">
        <v>1.17</v>
      </c>
      <c r="E14" s="1"/>
    </row>
    <row r="15" spans="1:5" ht="20.25" customHeight="1">
      <c r="A15" s="115"/>
      <c r="B15" s="116"/>
      <c r="C15" s="33" t="s">
        <v>113</v>
      </c>
      <c r="D15" s="2">
        <v>0.39</v>
      </c>
      <c r="E15" s="1"/>
    </row>
    <row r="16" spans="1:5" ht="45">
      <c r="A16" s="115"/>
      <c r="B16" s="116"/>
      <c r="C16" s="34" t="s">
        <v>115</v>
      </c>
      <c r="D16" s="32">
        <v>0.39</v>
      </c>
    </row>
    <row r="17" spans="1:5">
      <c r="A17" s="115"/>
      <c r="B17" s="116"/>
      <c r="C17" s="34" t="s">
        <v>114</v>
      </c>
      <c r="D17" s="32">
        <v>0.39</v>
      </c>
    </row>
    <row r="18" spans="1:5" ht="30.75" customHeight="1">
      <c r="A18" s="76" t="s">
        <v>108</v>
      </c>
      <c r="B18" s="55">
        <v>0.78</v>
      </c>
      <c r="C18" s="54"/>
      <c r="D18" s="55"/>
      <c r="E18" s="1"/>
    </row>
    <row r="19" spans="1:5" ht="30.75" customHeight="1">
      <c r="A19" s="33" t="s">
        <v>109</v>
      </c>
      <c r="B19" s="73">
        <v>0.39</v>
      </c>
      <c r="C19" s="72"/>
      <c r="D19" s="73"/>
      <c r="E19" s="1"/>
    </row>
  </sheetData>
  <mergeCells count="12">
    <mergeCell ref="A14:A17"/>
    <mergeCell ref="B14:B17"/>
    <mergeCell ref="A1:D1"/>
    <mergeCell ref="A2:D2"/>
    <mergeCell ref="A3:D3"/>
    <mergeCell ref="A4:D4"/>
    <mergeCell ref="A5:D5"/>
    <mergeCell ref="A6:D6"/>
    <mergeCell ref="A7:A8"/>
    <mergeCell ref="C7:C8"/>
    <mergeCell ref="D7:D8"/>
    <mergeCell ref="B7:B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D32" sqref="D32"/>
    </sheetView>
  </sheetViews>
  <sheetFormatPr defaultRowHeight="15"/>
  <cols>
    <col min="1" max="1" width="21.42578125" customWidth="1"/>
    <col min="2" max="2" width="16.5703125" customWidth="1"/>
    <col min="3" max="4" width="21.5703125" customWidth="1"/>
    <col min="5" max="5" width="18.7109375" customWidth="1"/>
    <col min="6" max="6" width="17.7109375" customWidth="1"/>
    <col min="7" max="7" width="22.42578125" customWidth="1"/>
    <col min="8" max="8" width="24.42578125" customWidth="1"/>
    <col min="9" max="9" width="18.85546875" customWidth="1"/>
  </cols>
  <sheetData>
    <row r="1" spans="1:9" ht="15.75">
      <c r="A1" s="122" t="s">
        <v>18</v>
      </c>
      <c r="B1" s="122"/>
      <c r="C1" s="122"/>
      <c r="D1" s="122"/>
      <c r="E1" s="122"/>
      <c r="F1" s="122"/>
      <c r="G1" s="122"/>
      <c r="H1" s="122"/>
      <c r="I1" s="122"/>
    </row>
    <row r="3" spans="1:9">
      <c r="A3" s="7" t="s">
        <v>146</v>
      </c>
    </row>
    <row r="4" spans="1:9">
      <c r="A4" s="7" t="s">
        <v>161</v>
      </c>
    </row>
    <row r="5" spans="1:9">
      <c r="A5" s="7" t="s">
        <v>19</v>
      </c>
    </row>
    <row r="7" spans="1:9" ht="75" customHeight="1">
      <c r="A7" s="124" t="s">
        <v>20</v>
      </c>
      <c r="B7" s="124" t="s">
        <v>21</v>
      </c>
      <c r="C7" s="124" t="s">
        <v>22</v>
      </c>
      <c r="D7" s="88"/>
      <c r="E7" s="124" t="s">
        <v>139</v>
      </c>
      <c r="F7" s="124" t="s">
        <v>140</v>
      </c>
      <c r="G7" s="124" t="s">
        <v>23</v>
      </c>
      <c r="H7" s="128" t="s">
        <v>141</v>
      </c>
      <c r="I7" s="124" t="s">
        <v>24</v>
      </c>
    </row>
    <row r="8" spans="1:9" ht="8.25" hidden="1" customHeight="1">
      <c r="A8" s="124"/>
      <c r="B8" s="124"/>
      <c r="C8" s="124"/>
      <c r="D8" s="88"/>
      <c r="E8" s="124"/>
      <c r="F8" s="124"/>
      <c r="G8" s="124"/>
      <c r="H8" s="129"/>
      <c r="I8" s="124"/>
    </row>
    <row r="9" spans="1:9" hidden="1">
      <c r="A9" s="124"/>
      <c r="B9" s="124"/>
      <c r="C9" s="124"/>
      <c r="D9" s="88"/>
      <c r="E9" s="124"/>
      <c r="F9" s="124"/>
      <c r="G9" s="124"/>
      <c r="H9" s="130"/>
      <c r="I9" s="124"/>
    </row>
    <row r="10" spans="1:9">
      <c r="A10" s="123">
        <v>1</v>
      </c>
      <c r="B10" s="123">
        <v>2</v>
      </c>
      <c r="C10" s="123">
        <v>3</v>
      </c>
      <c r="D10" s="87"/>
      <c r="E10" s="123" t="s">
        <v>147</v>
      </c>
      <c r="F10" s="123">
        <v>5</v>
      </c>
      <c r="G10" s="123" t="s">
        <v>25</v>
      </c>
      <c r="H10" s="123" t="s">
        <v>148</v>
      </c>
      <c r="I10" s="123" t="s">
        <v>27</v>
      </c>
    </row>
    <row r="11" spans="1:9" ht="14.25" customHeight="1">
      <c r="A11" s="123"/>
      <c r="B11" s="123"/>
      <c r="C11" s="123"/>
      <c r="D11" s="87"/>
      <c r="E11" s="123"/>
      <c r="F11" s="123"/>
      <c r="G11" s="123"/>
      <c r="H11" s="123"/>
      <c r="I11" s="123"/>
    </row>
    <row r="12" spans="1:9">
      <c r="A12" s="72" t="s">
        <v>103</v>
      </c>
      <c r="B12" s="93">
        <f>10573014.57*39/100/12</f>
        <v>343622.97352499998</v>
      </c>
      <c r="C12" s="6">
        <v>7</v>
      </c>
      <c r="D12" s="86">
        <f>B12*C12</f>
        <v>2405360.814675</v>
      </c>
      <c r="E12" s="16">
        <f>C12*1970</f>
        <v>13790</v>
      </c>
      <c r="F12" s="17">
        <v>68</v>
      </c>
      <c r="G12" s="36">
        <f>E12/F12</f>
        <v>202.79411764705881</v>
      </c>
      <c r="H12" s="36">
        <f>B12*12*1.302/1970</f>
        <v>2725.2615930734009</v>
      </c>
      <c r="I12" s="36">
        <f>G12*H12</f>
        <v>552667.02012473822</v>
      </c>
    </row>
    <row r="13" spans="1:9">
      <c r="A13" s="35" t="s">
        <v>72</v>
      </c>
      <c r="B13" s="93">
        <f>250664.72*39/100/12</f>
        <v>8146.6034</v>
      </c>
      <c r="C13" s="6">
        <v>0.39</v>
      </c>
      <c r="D13" s="91">
        <f>B13</f>
        <v>8146.6034</v>
      </c>
      <c r="E13" s="16">
        <f t="shared" ref="E13:E19" si="0">C13*1970</f>
        <v>768.30000000000007</v>
      </c>
      <c r="F13" s="17">
        <v>68</v>
      </c>
      <c r="G13" s="36">
        <f t="shared" ref="G13:G19" si="1">E13/F13</f>
        <v>11.298529411764706</v>
      </c>
      <c r="H13" s="36">
        <f t="shared" ref="H13:H19" si="2">B13*12*1.302/1970</f>
        <v>64.610422092182745</v>
      </c>
      <c r="I13" s="36">
        <f t="shared" ref="I13:I19" si="3">G13*H13</f>
        <v>730.00275431505884</v>
      </c>
    </row>
    <row r="14" spans="1:9">
      <c r="A14" s="72" t="s">
        <v>104</v>
      </c>
      <c r="B14" s="93">
        <f>372870.7*39/100/12</f>
        <v>12118.29775</v>
      </c>
      <c r="C14" s="6">
        <v>2</v>
      </c>
      <c r="D14" s="86">
        <f t="shared" ref="D14:D18" si="4">B14*C14</f>
        <v>24236.595499999999</v>
      </c>
      <c r="E14" s="16">
        <f t="shared" si="0"/>
        <v>3940</v>
      </c>
      <c r="F14" s="17">
        <v>68</v>
      </c>
      <c r="G14" s="36">
        <f t="shared" si="1"/>
        <v>57.941176470588232</v>
      </c>
      <c r="H14" s="36">
        <f t="shared" si="2"/>
        <v>96.109788855837564</v>
      </c>
      <c r="I14" s="36">
        <f t="shared" si="3"/>
        <v>5568.7142366470589</v>
      </c>
    </row>
    <row r="15" spans="1:9" ht="30">
      <c r="A15" s="78" t="s">
        <v>97</v>
      </c>
      <c r="B15" s="93">
        <f>1591367.19*39/100/12</f>
        <v>51719.433675</v>
      </c>
      <c r="C15" s="6">
        <v>0.39</v>
      </c>
      <c r="D15" s="91">
        <f>B15</f>
        <v>51719.433675</v>
      </c>
      <c r="E15" s="16">
        <f t="shared" si="0"/>
        <v>768.30000000000007</v>
      </c>
      <c r="F15" s="17">
        <v>68</v>
      </c>
      <c r="G15" s="36">
        <f t="shared" si="1"/>
        <v>11.298529411764706</v>
      </c>
      <c r="H15" s="36">
        <f t="shared" si="2"/>
        <v>410.18499073005074</v>
      </c>
      <c r="I15" s="36">
        <f t="shared" si="3"/>
        <v>4634.4871820279113</v>
      </c>
    </row>
    <row r="16" spans="1:9">
      <c r="A16" s="72" t="s">
        <v>101</v>
      </c>
      <c r="B16" s="93">
        <f>231799.32*39/100/12</f>
        <v>7533.4779000000008</v>
      </c>
      <c r="C16" s="6">
        <v>0.39</v>
      </c>
      <c r="D16" s="91">
        <f>B16</f>
        <v>7533.4779000000008</v>
      </c>
      <c r="E16" s="16">
        <f t="shared" si="0"/>
        <v>768.30000000000007</v>
      </c>
      <c r="F16" s="17">
        <v>68</v>
      </c>
      <c r="G16" s="36">
        <f t="shared" si="1"/>
        <v>11.298529411764706</v>
      </c>
      <c r="H16" s="36">
        <f t="shared" si="2"/>
        <v>59.747745537868028</v>
      </c>
      <c r="I16" s="36">
        <f t="shared" si="3"/>
        <v>675.06166024623542</v>
      </c>
    </row>
    <row r="17" spans="1:9">
      <c r="A17" s="77" t="s">
        <v>107</v>
      </c>
      <c r="B17" s="93">
        <f>261614.2*39/100/12</f>
        <v>8502.4614999999994</v>
      </c>
      <c r="C17" s="14">
        <v>0.39</v>
      </c>
      <c r="D17" s="91">
        <f>B17</f>
        <v>8502.4614999999994</v>
      </c>
      <c r="E17" s="16">
        <f t="shared" si="0"/>
        <v>768.30000000000007</v>
      </c>
      <c r="F17" s="17">
        <v>68</v>
      </c>
      <c r="G17" s="36">
        <f t="shared" si="1"/>
        <v>11.298529411764706</v>
      </c>
      <c r="H17" s="36">
        <f t="shared" si="2"/>
        <v>67.43272003857868</v>
      </c>
      <c r="I17" s="36">
        <f t="shared" si="3"/>
        <v>761.89057067117653</v>
      </c>
    </row>
    <row r="18" spans="1:9">
      <c r="A18" s="77" t="s">
        <v>108</v>
      </c>
      <c r="B18" s="93">
        <f>827950.66*39/100/12</f>
        <v>26908.39645</v>
      </c>
      <c r="C18" s="75">
        <v>0.78</v>
      </c>
      <c r="D18" s="86">
        <f t="shared" si="4"/>
        <v>20988.549231000001</v>
      </c>
      <c r="E18" s="16">
        <f t="shared" si="0"/>
        <v>1536.6000000000001</v>
      </c>
      <c r="F18" s="17">
        <v>68</v>
      </c>
      <c r="G18" s="36">
        <f t="shared" si="1"/>
        <v>22.597058823529412</v>
      </c>
      <c r="H18" s="36">
        <f t="shared" si="2"/>
        <v>213.40953610903554</v>
      </c>
      <c r="I18" s="36">
        <f t="shared" si="3"/>
        <v>4822.4278409580002</v>
      </c>
    </row>
    <row r="19" spans="1:9" ht="30">
      <c r="A19" s="15" t="s">
        <v>116</v>
      </c>
      <c r="B19" s="93">
        <f>407998.06*39/100/12</f>
        <v>13259.936950000001</v>
      </c>
      <c r="C19" s="42">
        <v>0.39</v>
      </c>
      <c r="D19" s="91">
        <f>B19</f>
        <v>13259.936950000001</v>
      </c>
      <c r="E19" s="16">
        <f t="shared" si="0"/>
        <v>768.30000000000007</v>
      </c>
      <c r="F19" s="17">
        <v>68</v>
      </c>
      <c r="G19" s="36">
        <f t="shared" si="1"/>
        <v>11.298529411764706</v>
      </c>
      <c r="H19" s="36">
        <f t="shared" si="2"/>
        <v>105.16408878517768</v>
      </c>
      <c r="I19" s="36">
        <f t="shared" si="3"/>
        <v>1188.1995502007649</v>
      </c>
    </row>
    <row r="20" spans="1:9" ht="15" customHeight="1">
      <c r="A20" s="125" t="s">
        <v>26</v>
      </c>
      <c r="B20" s="126"/>
      <c r="C20" s="126"/>
      <c r="D20" s="126"/>
      <c r="E20" s="126"/>
      <c r="F20" s="126"/>
      <c r="G20" s="126"/>
      <c r="H20" s="127"/>
      <c r="I20" s="37">
        <f>SUM(I12:I19)</f>
        <v>571047.80391980428</v>
      </c>
    </row>
    <row r="21" spans="1:9">
      <c r="B21" s="43">
        <f>SUM(B12:B19)</f>
        <v>471811.58114999998</v>
      </c>
      <c r="C21" s="43">
        <f>D21*12</f>
        <v>30476974.473971993</v>
      </c>
      <c r="D21" s="43">
        <f>SUM(D12:D19)</f>
        <v>2539747.8728309995</v>
      </c>
    </row>
    <row r="22" spans="1:9">
      <c r="C22" s="43">
        <f>C21*30.2%</f>
        <v>9204046.2911395412</v>
      </c>
      <c r="D22" s="43"/>
    </row>
  </sheetData>
  <mergeCells count="18">
    <mergeCell ref="E10:E11"/>
    <mergeCell ref="F10:F11"/>
    <mergeCell ref="A1:I1"/>
    <mergeCell ref="G10:G11"/>
    <mergeCell ref="I10:I11"/>
    <mergeCell ref="I7:I9"/>
    <mergeCell ref="A20:H20"/>
    <mergeCell ref="H10:H11"/>
    <mergeCell ref="E7:E9"/>
    <mergeCell ref="F7:F9"/>
    <mergeCell ref="H7:H9"/>
    <mergeCell ref="A7:A9"/>
    <mergeCell ref="B7:B9"/>
    <mergeCell ref="C7:C9"/>
    <mergeCell ref="G7:G9"/>
    <mergeCell ref="A10:A11"/>
    <mergeCell ref="B10:B11"/>
    <mergeCell ref="C10:C11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B17" sqref="B17"/>
    </sheetView>
  </sheetViews>
  <sheetFormatPr defaultRowHeight="15"/>
  <cols>
    <col min="1" max="1" width="26.140625" style="26" customWidth="1"/>
    <col min="2" max="2" width="14.42578125" style="26" customWidth="1"/>
    <col min="3" max="4" width="13.7109375" style="26" customWidth="1"/>
    <col min="5" max="5" width="16.140625" style="26" customWidth="1"/>
    <col min="6" max="6" width="12" style="26" customWidth="1"/>
    <col min="7" max="7" width="17.42578125" style="26" customWidth="1"/>
    <col min="8" max="8" width="22" style="26" customWidth="1"/>
    <col min="9" max="9" width="16.85546875" style="26" customWidth="1"/>
    <col min="10" max="16384" width="9.140625" style="26"/>
  </cols>
  <sheetData>
    <row r="1" spans="1:9">
      <c r="A1" s="94" t="s">
        <v>64</v>
      </c>
      <c r="B1" s="94"/>
      <c r="C1" s="94"/>
      <c r="D1" s="94"/>
      <c r="E1" s="94"/>
      <c r="F1" s="94"/>
      <c r="G1" s="94"/>
      <c r="H1" s="94"/>
      <c r="I1" s="94"/>
    </row>
    <row r="2" spans="1:9">
      <c r="A2" s="132"/>
      <c r="B2" s="132"/>
      <c r="C2" s="132"/>
      <c r="D2" s="132"/>
      <c r="E2" s="132"/>
      <c r="F2" s="132"/>
      <c r="G2" s="132"/>
      <c r="H2" s="132"/>
      <c r="I2" s="132"/>
    </row>
    <row r="3" spans="1:9" ht="73.5" customHeight="1">
      <c r="A3" s="28" t="s">
        <v>20</v>
      </c>
      <c r="B3" s="28" t="s">
        <v>21</v>
      </c>
      <c r="C3" s="28" t="s">
        <v>22</v>
      </c>
      <c r="D3" s="28"/>
      <c r="E3" s="28" t="s">
        <v>45</v>
      </c>
      <c r="F3" s="28" t="s">
        <v>50</v>
      </c>
      <c r="G3" s="28" t="s">
        <v>55</v>
      </c>
      <c r="H3" s="28" t="s">
        <v>65</v>
      </c>
      <c r="I3" s="28" t="s">
        <v>24</v>
      </c>
    </row>
    <row r="4" spans="1:9" ht="12.75" customHeight="1">
      <c r="A4" s="23">
        <v>1</v>
      </c>
      <c r="B4" s="23">
        <v>2</v>
      </c>
      <c r="C4" s="23">
        <v>3</v>
      </c>
      <c r="D4" s="90"/>
      <c r="E4" s="23">
        <v>4</v>
      </c>
      <c r="F4" s="23">
        <v>5</v>
      </c>
      <c r="G4" s="23" t="s">
        <v>51</v>
      </c>
      <c r="H4" s="23" t="s">
        <v>71</v>
      </c>
      <c r="I4" s="23" t="s">
        <v>52</v>
      </c>
    </row>
    <row r="5" spans="1:9" ht="45">
      <c r="A5" s="33" t="s">
        <v>117</v>
      </c>
      <c r="B5" s="30">
        <f>450499.33*39/100/12</f>
        <v>14641.228225000001</v>
      </c>
      <c r="C5" s="40">
        <v>0.39</v>
      </c>
      <c r="D5" s="91">
        <f>B5</f>
        <v>14641.228225000001</v>
      </c>
      <c r="E5" s="25">
        <v>68</v>
      </c>
      <c r="F5" s="23">
        <v>11.6</v>
      </c>
      <c r="G5" s="23">
        <f>C5/E5*F5</f>
        <v>6.6529411764705879E-2</v>
      </c>
      <c r="H5" s="25">
        <f>B5*C5*12*1.302</f>
        <v>89214.274417086024</v>
      </c>
      <c r="I5" s="57">
        <f>G5*H5</f>
        <v>5935.3731979837812</v>
      </c>
    </row>
    <row r="6" spans="1:9" ht="30">
      <c r="A6" s="33" t="s">
        <v>109</v>
      </c>
      <c r="B6" s="30">
        <f>485143.91*39/100/12</f>
        <v>15767.177075</v>
      </c>
      <c r="C6" s="40">
        <v>0.39</v>
      </c>
      <c r="D6" s="91">
        <f t="shared" ref="D6:D14" si="0">B6</f>
        <v>15767.177075</v>
      </c>
      <c r="E6" s="25">
        <v>68</v>
      </c>
      <c r="F6" s="41">
        <v>11.6</v>
      </c>
      <c r="G6" s="41">
        <f t="shared" ref="G6:G14" si="1">C6/E6*F6</f>
        <v>6.6529411764705879E-2</v>
      </c>
      <c r="H6" s="25">
        <f t="shared" ref="H6:H14" si="2">B6*C6*12*1.302</f>
        <v>96075.086101721987</v>
      </c>
      <c r="I6" s="57">
        <f t="shared" ref="I6:I14" si="3">G6*H6</f>
        <v>6391.818963591033</v>
      </c>
    </row>
    <row r="7" spans="1:9" hidden="1">
      <c r="A7" s="33"/>
      <c r="B7" s="30">
        <f t="shared" ref="B7" si="4">450499.33*39/100/12</f>
        <v>14641.228225000001</v>
      </c>
      <c r="C7" s="40"/>
      <c r="D7" s="91">
        <f t="shared" si="0"/>
        <v>14641.228225000001</v>
      </c>
      <c r="E7" s="25"/>
      <c r="F7" s="41"/>
      <c r="G7" s="41"/>
      <c r="H7" s="25"/>
      <c r="I7" s="57"/>
    </row>
    <row r="8" spans="1:9">
      <c r="A8" s="33" t="s">
        <v>112</v>
      </c>
      <c r="B8" s="30">
        <f>2186013.74*39/100/12</f>
        <v>71045.446550000008</v>
      </c>
      <c r="C8" s="40">
        <v>0.39</v>
      </c>
      <c r="D8" s="91">
        <f t="shared" si="0"/>
        <v>71045.446550000008</v>
      </c>
      <c r="E8" s="25">
        <v>68</v>
      </c>
      <c r="F8" s="41">
        <v>11.6</v>
      </c>
      <c r="G8" s="41">
        <f t="shared" si="1"/>
        <v>6.6529411764705879E-2</v>
      </c>
      <c r="H8" s="25">
        <f t="shared" si="2"/>
        <v>432905.4821899081</v>
      </c>
      <c r="I8" s="57">
        <f t="shared" si="3"/>
        <v>28800.947079810943</v>
      </c>
    </row>
    <row r="9" spans="1:9" ht="30">
      <c r="A9" s="33" t="s">
        <v>118</v>
      </c>
      <c r="B9" s="30">
        <f>1570380.14*39/100/12</f>
        <v>51037.354549999996</v>
      </c>
      <c r="C9" s="40">
        <v>0.39</v>
      </c>
      <c r="D9" s="91">
        <f t="shared" si="0"/>
        <v>51037.354549999996</v>
      </c>
      <c r="E9" s="25">
        <v>68</v>
      </c>
      <c r="F9" s="41">
        <v>11.6</v>
      </c>
      <c r="G9" s="41">
        <f t="shared" si="1"/>
        <v>6.6529411764705879E-2</v>
      </c>
      <c r="H9" s="25">
        <f t="shared" si="2"/>
        <v>310988.97472078801</v>
      </c>
      <c r="I9" s="57">
        <f t="shared" si="3"/>
        <v>20689.913553483013</v>
      </c>
    </row>
    <row r="10" spans="1:9">
      <c r="A10" s="33" t="s">
        <v>119</v>
      </c>
      <c r="B10" s="30">
        <f>222751.71*39/100/12</f>
        <v>7239.4305749999994</v>
      </c>
      <c r="C10" s="40">
        <v>0.19</v>
      </c>
      <c r="D10" s="91">
        <f t="shared" si="0"/>
        <v>7239.4305749999994</v>
      </c>
      <c r="E10" s="25">
        <v>68</v>
      </c>
      <c r="F10" s="41">
        <v>11.6</v>
      </c>
      <c r="G10" s="41">
        <f t="shared" si="1"/>
        <v>3.2411764705882355E-2</v>
      </c>
      <c r="H10" s="25">
        <f t="shared" si="2"/>
        <v>21490.684027722</v>
      </c>
      <c r="I10" s="57">
        <f t="shared" si="3"/>
        <v>696.5509940749896</v>
      </c>
    </row>
    <row r="11" spans="1:9">
      <c r="A11" s="33" t="s">
        <v>102</v>
      </c>
      <c r="B11" s="30">
        <f>1401363.81*39/100/12</f>
        <v>45544.323824999999</v>
      </c>
      <c r="C11" s="40">
        <v>1.17</v>
      </c>
      <c r="D11" s="89">
        <f t="shared" ref="D11" si="5">B11*C11</f>
        <v>53286.858875249993</v>
      </c>
      <c r="E11" s="25">
        <v>68</v>
      </c>
      <c r="F11" s="41">
        <v>11.6</v>
      </c>
      <c r="G11" s="41">
        <f t="shared" si="1"/>
        <v>0.19958823529411762</v>
      </c>
      <c r="H11" s="25">
        <f t="shared" si="2"/>
        <v>832553.88306690601</v>
      </c>
      <c r="I11" s="57">
        <f t="shared" si="3"/>
        <v>166167.96030858892</v>
      </c>
    </row>
    <row r="12" spans="1:9">
      <c r="A12" s="33" t="s">
        <v>113</v>
      </c>
      <c r="B12" s="30">
        <f>635751.57*39/100/12</f>
        <v>20661.926024999997</v>
      </c>
      <c r="C12" s="32">
        <v>0.39</v>
      </c>
      <c r="D12" s="91">
        <f t="shared" si="0"/>
        <v>20661.926024999997</v>
      </c>
      <c r="E12" s="25">
        <v>68</v>
      </c>
      <c r="F12" s="41">
        <v>11.6</v>
      </c>
      <c r="G12" s="41">
        <f t="shared" si="1"/>
        <v>6.6529411764705879E-2</v>
      </c>
      <c r="H12" s="25">
        <f t="shared" si="2"/>
        <v>125900.55356369397</v>
      </c>
      <c r="I12" s="57">
        <f t="shared" si="3"/>
        <v>8376.0897694434043</v>
      </c>
    </row>
    <row r="13" spans="1:9" ht="45">
      <c r="A13" s="34" t="s">
        <v>120</v>
      </c>
      <c r="B13" s="30">
        <f>238328.42*39/100/12</f>
        <v>7745.6736500000006</v>
      </c>
      <c r="C13" s="32">
        <v>0.19</v>
      </c>
      <c r="D13" s="91">
        <f t="shared" si="0"/>
        <v>7745.6736500000006</v>
      </c>
      <c r="E13" s="25">
        <v>68</v>
      </c>
      <c r="F13" s="74">
        <v>11.6</v>
      </c>
      <c r="G13" s="74">
        <f t="shared" si="1"/>
        <v>3.2411764705882355E-2</v>
      </c>
      <c r="H13" s="25">
        <f t="shared" si="2"/>
        <v>22993.496970444001</v>
      </c>
      <c r="I13" s="57">
        <f t="shared" si="3"/>
        <v>745.25981357144974</v>
      </c>
    </row>
    <row r="14" spans="1:9">
      <c r="A14" s="34" t="s">
        <v>114</v>
      </c>
      <c r="B14" s="30">
        <f>432092.15*39/100/12</f>
        <v>14042.994875000002</v>
      </c>
      <c r="C14" s="32">
        <v>0.39</v>
      </c>
      <c r="D14" s="91">
        <f t="shared" si="0"/>
        <v>14042.994875000002</v>
      </c>
      <c r="E14" s="25">
        <v>68</v>
      </c>
      <c r="F14" s="41">
        <v>11.6</v>
      </c>
      <c r="G14" s="41">
        <f t="shared" si="1"/>
        <v>6.6529411764705879E-2</v>
      </c>
      <c r="H14" s="25">
        <f t="shared" si="2"/>
        <v>85569.023251530016</v>
      </c>
      <c r="I14" s="57">
        <f t="shared" si="3"/>
        <v>5692.8567822047316</v>
      </c>
    </row>
    <row r="15" spans="1:9" ht="37.5" customHeight="1">
      <c r="A15" s="131" t="s">
        <v>66</v>
      </c>
      <c r="B15" s="131"/>
      <c r="C15" s="131"/>
      <c r="D15" s="131"/>
      <c r="E15" s="131"/>
      <c r="F15" s="131"/>
      <c r="G15" s="131"/>
      <c r="H15" s="131"/>
      <c r="I15" s="69">
        <f>SUM(I5:I14)</f>
        <v>243496.77046275226</v>
      </c>
    </row>
    <row r="16" spans="1:9">
      <c r="B16" s="80">
        <f>SUM(B5:B14)</f>
        <v>262366.78357500001</v>
      </c>
      <c r="C16" s="43">
        <f>D16*12</f>
        <v>3241311.8235029997</v>
      </c>
      <c r="D16" s="43">
        <f>SUM(D5:D14)</f>
        <v>270109.31862524996</v>
      </c>
      <c r="E16" s="80">
        <f>'[1]211,213 непосред. связан. усл'!C22+'[1]211,213 не связанные с оказ усл'!C16</f>
        <v>869765.68967999995</v>
      </c>
    </row>
    <row r="17" spans="3:4">
      <c r="C17" s="80">
        <f>C16*30.2%</f>
        <v>978876.17069790594</v>
      </c>
      <c r="D17" s="80"/>
    </row>
  </sheetData>
  <mergeCells count="2">
    <mergeCell ref="A15:H15"/>
    <mergeCell ref="A1:I2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D20" sqref="D20"/>
    </sheetView>
  </sheetViews>
  <sheetFormatPr defaultRowHeight="15"/>
  <cols>
    <col min="1" max="1" width="21.140625" customWidth="1"/>
    <col min="2" max="2" width="14.42578125" customWidth="1"/>
    <col min="3" max="3" width="17.85546875" customWidth="1"/>
    <col min="4" max="4" width="14.7109375" customWidth="1"/>
    <col min="5" max="5" width="16" customWidth="1"/>
    <col min="6" max="6" width="15.7109375" customWidth="1"/>
    <col min="7" max="7" width="15.85546875" customWidth="1"/>
    <col min="8" max="8" width="19.5703125" customWidth="1"/>
  </cols>
  <sheetData>
    <row r="1" spans="1:9" ht="15.75" customHeight="1">
      <c r="A1" s="136" t="s">
        <v>28</v>
      </c>
      <c r="B1" s="136"/>
      <c r="C1" s="136"/>
      <c r="D1" s="136"/>
      <c r="E1" s="136"/>
      <c r="F1" s="136"/>
      <c r="G1" s="136"/>
      <c r="H1" s="136"/>
      <c r="I1" s="21"/>
    </row>
    <row r="2" spans="1:9" ht="15" customHeight="1">
      <c r="A2" s="136"/>
      <c r="B2" s="136"/>
      <c r="C2" s="136"/>
      <c r="D2" s="136"/>
      <c r="E2" s="136"/>
      <c r="F2" s="136"/>
      <c r="G2" s="136"/>
      <c r="H2" s="136"/>
      <c r="I2" s="21"/>
    </row>
    <row r="3" spans="1:9" ht="15.75" thickBot="1"/>
    <row r="4" spans="1:9" ht="65.25" customHeight="1" thickBot="1">
      <c r="A4" s="8" t="s">
        <v>29</v>
      </c>
      <c r="B4" s="8" t="s">
        <v>30</v>
      </c>
      <c r="C4" s="8" t="s">
        <v>31</v>
      </c>
      <c r="D4" s="8" t="s">
        <v>142</v>
      </c>
      <c r="E4" s="8" t="s">
        <v>32</v>
      </c>
      <c r="F4" s="8" t="s">
        <v>39</v>
      </c>
      <c r="G4" s="8" t="s">
        <v>40</v>
      </c>
      <c r="H4" s="8" t="s">
        <v>33</v>
      </c>
    </row>
    <row r="5" spans="1:9" ht="15.75" thickBot="1">
      <c r="A5" s="19">
        <v>1</v>
      </c>
      <c r="B5" s="19">
        <v>2</v>
      </c>
      <c r="C5" s="19">
        <v>3</v>
      </c>
      <c r="D5" s="19">
        <v>4</v>
      </c>
      <c r="E5" s="19" t="s">
        <v>37</v>
      </c>
      <c r="F5" s="19">
        <v>6</v>
      </c>
      <c r="G5" s="19">
        <v>7</v>
      </c>
      <c r="H5" s="19" t="s">
        <v>38</v>
      </c>
    </row>
    <row r="6" spans="1:9" ht="28.5">
      <c r="A6" s="20" t="s">
        <v>35</v>
      </c>
      <c r="B6" s="10" t="s">
        <v>34</v>
      </c>
      <c r="C6" s="10">
        <v>0</v>
      </c>
      <c r="D6" s="9">
        <v>107</v>
      </c>
      <c r="E6" s="10">
        <v>0</v>
      </c>
      <c r="F6" s="10">
        <v>0</v>
      </c>
      <c r="G6" s="11">
        <v>0</v>
      </c>
      <c r="H6" s="12">
        <v>0</v>
      </c>
    </row>
    <row r="7" spans="1:9" ht="15.75" thickBot="1">
      <c r="A7" s="133" t="s">
        <v>36</v>
      </c>
      <c r="B7" s="134"/>
      <c r="C7" s="134"/>
      <c r="D7" s="134"/>
      <c r="E7" s="134"/>
      <c r="F7" s="134"/>
      <c r="G7" s="135"/>
      <c r="H7" s="13"/>
    </row>
  </sheetData>
  <mergeCells count="2">
    <mergeCell ref="A7:G7"/>
    <mergeCell ref="A1:H2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C7" sqref="C7"/>
    </sheetView>
  </sheetViews>
  <sheetFormatPr defaultRowHeight="15"/>
  <cols>
    <col min="1" max="1" width="29.140625" customWidth="1"/>
    <col min="2" max="2" width="15.5703125" customWidth="1"/>
    <col min="3" max="3" width="14.140625" customWidth="1"/>
    <col min="4" max="4" width="19.85546875" customWidth="1"/>
    <col min="5" max="5" width="13.85546875" customWidth="1"/>
    <col min="6" max="6" width="15.140625" customWidth="1"/>
    <col min="7" max="7" width="16.7109375" customWidth="1"/>
    <col min="8" max="8" width="17.7109375" customWidth="1"/>
  </cols>
  <sheetData>
    <row r="1" spans="1:8" ht="18.75">
      <c r="A1" s="137" t="s">
        <v>90</v>
      </c>
      <c r="B1" s="137"/>
      <c r="C1" s="137"/>
      <c r="D1" s="137"/>
      <c r="E1" s="137"/>
      <c r="F1" s="137"/>
      <c r="G1" s="137"/>
      <c r="H1" s="137"/>
    </row>
    <row r="3" spans="1:8" ht="62.25" customHeight="1">
      <c r="A3" s="42" t="s">
        <v>54</v>
      </c>
      <c r="B3" s="42" t="s">
        <v>30</v>
      </c>
      <c r="C3" s="42" t="s">
        <v>44</v>
      </c>
      <c r="D3" s="42" t="s">
        <v>45</v>
      </c>
      <c r="E3" s="42" t="s">
        <v>87</v>
      </c>
      <c r="F3" s="42" t="s">
        <v>55</v>
      </c>
      <c r="G3" s="42" t="s">
        <v>47</v>
      </c>
      <c r="H3" s="42" t="s">
        <v>24</v>
      </c>
    </row>
    <row r="4" spans="1:8">
      <c r="A4" s="41">
        <v>1</v>
      </c>
      <c r="B4" s="41">
        <v>2</v>
      </c>
      <c r="C4" s="41">
        <v>3</v>
      </c>
      <c r="D4" s="41">
        <v>4</v>
      </c>
      <c r="E4" s="41">
        <v>5</v>
      </c>
      <c r="F4" s="41" t="s">
        <v>51</v>
      </c>
      <c r="G4" s="41">
        <v>7</v>
      </c>
      <c r="H4" s="41" t="s">
        <v>52</v>
      </c>
    </row>
    <row r="5" spans="1:8" ht="31.5" customHeight="1">
      <c r="A5" s="71" t="s">
        <v>92</v>
      </c>
      <c r="B5" s="41" t="s">
        <v>88</v>
      </c>
      <c r="C5" s="25">
        <f>8400*39/100</f>
        <v>3276</v>
      </c>
      <c r="D5" s="25">
        <v>68</v>
      </c>
      <c r="E5" s="41">
        <v>11.6</v>
      </c>
      <c r="F5" s="41">
        <f t="shared" ref="F5:F6" si="0">C5/D5*E5</f>
        <v>558.84705882352944</v>
      </c>
      <c r="G5" s="67">
        <v>350</v>
      </c>
      <c r="H5" s="57">
        <f t="shared" ref="H5:H6" si="1">F5*G5</f>
        <v>195596.4705882353</v>
      </c>
    </row>
    <row r="6" spans="1:8" ht="31.5" customHeight="1">
      <c r="A6" s="71" t="s">
        <v>134</v>
      </c>
      <c r="B6" s="41" t="s">
        <v>88</v>
      </c>
      <c r="C6" s="25">
        <f>20050*39/100</f>
        <v>7819.5</v>
      </c>
      <c r="D6" s="25">
        <v>68</v>
      </c>
      <c r="E6" s="41">
        <v>11.6</v>
      </c>
      <c r="F6" s="41">
        <f t="shared" si="0"/>
        <v>1333.914705882353</v>
      </c>
      <c r="G6" s="67">
        <v>550</v>
      </c>
      <c r="H6" s="57">
        <f t="shared" si="1"/>
        <v>733653.08823529421</v>
      </c>
    </row>
    <row r="7" spans="1:8" ht="31.5" customHeight="1">
      <c r="A7" s="71" t="s">
        <v>93</v>
      </c>
      <c r="B7" s="79" t="s">
        <v>88</v>
      </c>
      <c r="C7" s="25">
        <f>261039.32*39/100</f>
        <v>101805.33480000001</v>
      </c>
      <c r="D7" s="25">
        <v>68</v>
      </c>
      <c r="E7" s="79">
        <v>11.6</v>
      </c>
      <c r="F7" s="79">
        <f t="shared" ref="F7:F8" si="2">C7/D7*E7</f>
        <v>17366.792407058823</v>
      </c>
      <c r="G7" s="67">
        <v>26000</v>
      </c>
      <c r="H7" s="57">
        <f t="shared" ref="H7:H8" si="3">F7*G7</f>
        <v>451536602.58352941</v>
      </c>
    </row>
    <row r="8" spans="1:8" ht="31.5" customHeight="1">
      <c r="A8" s="71"/>
      <c r="B8" s="79" t="s">
        <v>88</v>
      </c>
      <c r="C8" s="25"/>
      <c r="D8" s="25">
        <v>68</v>
      </c>
      <c r="E8" s="79">
        <v>11.6</v>
      </c>
      <c r="F8" s="79">
        <f t="shared" si="2"/>
        <v>0</v>
      </c>
      <c r="G8" s="67">
        <v>26000</v>
      </c>
      <c r="H8" s="57">
        <f t="shared" si="3"/>
        <v>0</v>
      </c>
    </row>
    <row r="9" spans="1:8" ht="31.5" customHeight="1">
      <c r="A9" s="71"/>
      <c r="B9" s="79" t="s">
        <v>88</v>
      </c>
      <c r="C9" s="25"/>
      <c r="D9" s="25">
        <v>68</v>
      </c>
      <c r="E9" s="79">
        <v>11.6</v>
      </c>
      <c r="F9" s="79">
        <f t="shared" ref="F9:F11" si="4">C9/D9*E9</f>
        <v>0</v>
      </c>
      <c r="G9" s="67">
        <v>550</v>
      </c>
      <c r="H9" s="57">
        <f t="shared" ref="H9:H10" si="5">F9*G9</f>
        <v>0</v>
      </c>
    </row>
    <row r="10" spans="1:8" ht="31.5" customHeight="1">
      <c r="A10" s="71"/>
      <c r="B10" s="79" t="s">
        <v>88</v>
      </c>
      <c r="C10" s="25"/>
      <c r="D10" s="25">
        <v>68</v>
      </c>
      <c r="E10" s="79">
        <v>11.6</v>
      </c>
      <c r="F10" s="79">
        <f t="shared" si="4"/>
        <v>0</v>
      </c>
      <c r="G10" s="67">
        <v>550</v>
      </c>
      <c r="H10" s="57">
        <f t="shared" si="5"/>
        <v>0</v>
      </c>
    </row>
    <row r="11" spans="1:8" ht="31.5" customHeight="1">
      <c r="A11" s="71" t="s">
        <v>94</v>
      </c>
      <c r="B11" s="79" t="s">
        <v>88</v>
      </c>
      <c r="C11" s="25">
        <f>752762.32*39/100</f>
        <v>293577.30479999998</v>
      </c>
      <c r="D11" s="25">
        <v>68</v>
      </c>
      <c r="E11" s="79">
        <v>11.6</v>
      </c>
      <c r="F11" s="79">
        <f t="shared" si="4"/>
        <v>50080.834348235287</v>
      </c>
      <c r="G11" s="67">
        <v>58143</v>
      </c>
      <c r="H11" s="57">
        <f t="shared" ref="H11" si="6">F11*G11</f>
        <v>2911849951.5094442</v>
      </c>
    </row>
    <row r="12" spans="1:8" ht="55.5" customHeight="1">
      <c r="A12" s="71" t="s">
        <v>135</v>
      </c>
      <c r="B12" s="79" t="s">
        <v>88</v>
      </c>
      <c r="C12" s="25">
        <f>56480*39/100</f>
        <v>22027.200000000001</v>
      </c>
      <c r="D12" s="25">
        <v>68</v>
      </c>
      <c r="E12" s="79">
        <v>11.6</v>
      </c>
      <c r="F12" s="79">
        <f t="shared" ref="F12" si="7">C12/D12*E12</f>
        <v>3757.5811764705882</v>
      </c>
      <c r="G12" s="67">
        <v>26000</v>
      </c>
      <c r="H12" s="57">
        <f t="shared" ref="H12" si="8">F12*G12</f>
        <v>97697110.588235289</v>
      </c>
    </row>
    <row r="13" spans="1:8" ht="15" customHeight="1">
      <c r="A13" s="138" t="s">
        <v>91</v>
      </c>
      <c r="B13" s="138"/>
      <c r="C13" s="138"/>
      <c r="D13" s="138"/>
      <c r="E13" s="138"/>
      <c r="F13" s="138"/>
      <c r="G13" s="138"/>
      <c r="H13" s="37">
        <f>SUM(H5:H12)</f>
        <v>3462012914.2400327</v>
      </c>
    </row>
    <row r="15" spans="1:8">
      <c r="C15" s="43">
        <f>SUM(C5:C12)</f>
        <v>428505.33960000001</v>
      </c>
    </row>
    <row r="16" spans="1:8" ht="15" customHeight="1"/>
    <row r="20" spans="1:8" ht="15" customHeight="1">
      <c r="A20" s="138"/>
      <c r="B20" s="138"/>
      <c r="C20" s="138"/>
      <c r="D20" s="138"/>
      <c r="E20" s="138"/>
      <c r="F20" s="138"/>
      <c r="G20" s="138"/>
      <c r="H20" s="37"/>
    </row>
  </sheetData>
  <mergeCells count="3">
    <mergeCell ref="A1:H1"/>
    <mergeCell ref="A20:G20"/>
    <mergeCell ref="A13:G13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J13" sqref="J13"/>
    </sheetView>
  </sheetViews>
  <sheetFormatPr defaultRowHeight="15"/>
  <cols>
    <col min="1" max="1" width="19.28515625" customWidth="1"/>
    <col min="2" max="2" width="14.5703125" customWidth="1"/>
    <col min="3" max="3" width="14.28515625" customWidth="1"/>
    <col min="4" max="4" width="19" customWidth="1"/>
    <col min="5" max="5" width="15.5703125" customWidth="1"/>
    <col min="6" max="6" width="17" customWidth="1"/>
    <col min="7" max="7" width="14.42578125" customWidth="1"/>
    <col min="8" max="8" width="13.5703125" customWidth="1"/>
  </cols>
  <sheetData>
    <row r="1" spans="1:10" ht="15.75">
      <c r="A1" s="18" t="s">
        <v>41</v>
      </c>
    </row>
    <row r="3" spans="1:10" ht="21" customHeight="1">
      <c r="A3" s="139" t="s">
        <v>149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 ht="19.5" customHeight="1">
      <c r="A4" s="140" t="s">
        <v>42</v>
      </c>
      <c r="B4" s="140"/>
      <c r="C4" s="140"/>
      <c r="D4" s="140"/>
      <c r="E4" s="140"/>
      <c r="F4" s="140"/>
      <c r="G4" s="140"/>
      <c r="H4" s="140"/>
      <c r="I4" s="140"/>
      <c r="J4" s="140"/>
    </row>
    <row r="5" spans="1:10" ht="35.25" customHeight="1">
      <c r="A5" s="139" t="s">
        <v>150</v>
      </c>
      <c r="B5" s="139"/>
      <c r="C5" s="139"/>
      <c r="D5" s="139"/>
      <c r="E5" s="139"/>
      <c r="F5" s="139"/>
      <c r="G5" s="139"/>
      <c r="H5" s="139"/>
      <c r="I5" s="22"/>
      <c r="J5" s="22"/>
    </row>
    <row r="7" spans="1:10" ht="72" customHeight="1">
      <c r="A7" s="14" t="s">
        <v>43</v>
      </c>
      <c r="B7" s="14" t="s">
        <v>30</v>
      </c>
      <c r="C7" s="14" t="s">
        <v>44</v>
      </c>
      <c r="D7" s="14" t="s">
        <v>45</v>
      </c>
      <c r="E7" s="14" t="s">
        <v>50</v>
      </c>
      <c r="F7" s="14" t="s">
        <v>46</v>
      </c>
      <c r="G7" s="14" t="s">
        <v>47</v>
      </c>
      <c r="H7" s="14" t="s">
        <v>24</v>
      </c>
    </row>
    <row r="8" spans="1:10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 t="s">
        <v>51</v>
      </c>
      <c r="G8" s="23">
        <v>7</v>
      </c>
      <c r="H8" s="23" t="s">
        <v>52</v>
      </c>
    </row>
    <row r="9" spans="1:10">
      <c r="A9" s="24" t="s">
        <v>48</v>
      </c>
      <c r="B9" s="85" t="s">
        <v>151</v>
      </c>
      <c r="C9" s="25">
        <f>1047622.87*39/100</f>
        <v>408572.91930000001</v>
      </c>
      <c r="D9" s="25">
        <v>3968</v>
      </c>
      <c r="E9" s="23">
        <v>11.6</v>
      </c>
      <c r="F9" s="56">
        <f>C9/D9*E9</f>
        <v>1194.416800372984</v>
      </c>
      <c r="G9" s="23">
        <v>51.37</v>
      </c>
      <c r="H9" s="58">
        <f>F9*G9</f>
        <v>61357.191035160184</v>
      </c>
    </row>
    <row r="10" spans="1:10">
      <c r="A10" s="24" t="s">
        <v>49</v>
      </c>
      <c r="B10" s="85" t="s">
        <v>152</v>
      </c>
      <c r="C10" s="25">
        <f>2329143.12*39/100</f>
        <v>908365.81680000003</v>
      </c>
      <c r="D10" s="25">
        <v>3968</v>
      </c>
      <c r="E10" s="41">
        <v>11.6</v>
      </c>
      <c r="F10" s="56">
        <f t="shared" ref="F10:F11" si="0">C10/D10*E10</f>
        <v>2655.5049079838709</v>
      </c>
      <c r="G10" s="25">
        <v>15644.12</v>
      </c>
      <c r="H10" s="58">
        <f t="shared" ref="H10:H11" si="1">F10*G10</f>
        <v>41543037.441088639</v>
      </c>
    </row>
    <row r="11" spans="1:10" ht="18">
      <c r="A11" s="24" t="s">
        <v>86</v>
      </c>
      <c r="B11" s="85" t="s">
        <v>153</v>
      </c>
      <c r="C11" s="25">
        <f>60730.07*39/100</f>
        <v>23684.727299999999</v>
      </c>
      <c r="D11" s="25">
        <v>3968</v>
      </c>
      <c r="E11" s="41">
        <v>11.6</v>
      </c>
      <c r="F11" s="56">
        <f t="shared" si="0"/>
        <v>69.239626179435476</v>
      </c>
      <c r="G11" s="23">
        <v>650.09</v>
      </c>
      <c r="H11" s="58">
        <f t="shared" si="1"/>
        <v>45011.988582989208</v>
      </c>
    </row>
    <row r="12" spans="1:10" ht="18">
      <c r="A12" s="24" t="s">
        <v>127</v>
      </c>
      <c r="B12" s="85" t="s">
        <v>153</v>
      </c>
      <c r="C12" s="25">
        <f>41853.88*39/100</f>
        <v>16323.013199999998</v>
      </c>
      <c r="D12" s="25">
        <v>3968</v>
      </c>
      <c r="E12" s="79">
        <v>11.6</v>
      </c>
      <c r="F12" s="56">
        <f t="shared" ref="F12" si="2">C12/D12*E12</f>
        <v>47.718486169354833</v>
      </c>
      <c r="G12" s="79">
        <v>450</v>
      </c>
      <c r="H12" s="58">
        <f t="shared" ref="H12" si="3">F12*G12</f>
        <v>21473.318776209675</v>
      </c>
    </row>
    <row r="13" spans="1:10" ht="30">
      <c r="A13" s="24" t="s">
        <v>154</v>
      </c>
      <c r="B13" s="92" t="s">
        <v>153</v>
      </c>
      <c r="C13" s="25">
        <f>32027.71*39/100</f>
        <v>12490.8069</v>
      </c>
      <c r="D13" s="25">
        <v>3968</v>
      </c>
      <c r="E13" s="79">
        <v>11.6</v>
      </c>
      <c r="F13" s="56">
        <f t="shared" ref="F13" si="4">C13/D13*E13</f>
        <v>36.51546371975806</v>
      </c>
      <c r="G13" s="79">
        <v>1472.96</v>
      </c>
      <c r="H13" s="58">
        <f t="shared" ref="H13" si="5">F13*G13</f>
        <v>53785.817440654835</v>
      </c>
    </row>
    <row r="14" spans="1:10">
      <c r="C14" s="43">
        <f>SUM(C9:C13)</f>
        <v>1369437.2834999999</v>
      </c>
    </row>
  </sheetData>
  <mergeCells count="3">
    <mergeCell ref="A5:H5"/>
    <mergeCell ref="A4:J4"/>
    <mergeCell ref="A3:J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G14" sqref="G14"/>
    </sheetView>
  </sheetViews>
  <sheetFormatPr defaultRowHeight="15"/>
  <cols>
    <col min="1" max="1" width="39" style="26" customWidth="1"/>
    <col min="2" max="2" width="12.140625" style="26" customWidth="1"/>
    <col min="3" max="3" width="11.28515625" style="26" customWidth="1"/>
    <col min="4" max="4" width="14.5703125" style="26" customWidth="1"/>
    <col min="5" max="5" width="13.7109375" style="26" customWidth="1"/>
    <col min="6" max="6" width="13.140625" style="26" customWidth="1"/>
    <col min="7" max="7" width="16.140625" style="26" customWidth="1"/>
    <col min="8" max="8" width="12.140625" style="26" customWidth="1"/>
    <col min="9" max="16384" width="9.140625" style="26"/>
  </cols>
  <sheetData>
    <row r="1" spans="1:8">
      <c r="A1" s="141" t="s">
        <v>53</v>
      </c>
      <c r="B1" s="141"/>
      <c r="C1" s="141"/>
      <c r="D1" s="141"/>
      <c r="E1" s="141"/>
      <c r="F1" s="141"/>
      <c r="G1" s="141"/>
      <c r="H1" s="141"/>
    </row>
    <row r="3" spans="1:8" ht="59.25" customHeight="1">
      <c r="A3" s="14" t="s">
        <v>54</v>
      </c>
      <c r="B3" s="14" t="s">
        <v>30</v>
      </c>
      <c r="C3" s="14" t="s">
        <v>44</v>
      </c>
      <c r="D3" s="14" t="s">
        <v>45</v>
      </c>
      <c r="E3" s="14" t="s">
        <v>87</v>
      </c>
      <c r="F3" s="14" t="s">
        <v>55</v>
      </c>
      <c r="G3" s="14" t="s">
        <v>47</v>
      </c>
      <c r="H3" s="14" t="s">
        <v>24</v>
      </c>
    </row>
    <row r="4" spans="1:8" ht="19.5" customHeight="1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 t="s">
        <v>51</v>
      </c>
      <c r="G4" s="23">
        <v>7</v>
      </c>
      <c r="H4" s="23" t="s">
        <v>52</v>
      </c>
    </row>
    <row r="5" spans="1:8" ht="33" customHeight="1">
      <c r="A5" s="27" t="s">
        <v>128</v>
      </c>
      <c r="B5" s="85" t="s">
        <v>153</v>
      </c>
      <c r="C5" s="25">
        <f>8892.17*39/100</f>
        <v>3467.9463000000001</v>
      </c>
      <c r="D5" s="25">
        <v>3968</v>
      </c>
      <c r="E5" s="23">
        <v>11.6</v>
      </c>
      <c r="F5" s="56">
        <f t="shared" ref="F5:F14" si="0">C5/D5*E5</f>
        <v>10.138149465725807</v>
      </c>
      <c r="G5" s="25">
        <v>1270.31</v>
      </c>
      <c r="H5" s="57">
        <f t="shared" ref="H5:H14" si="1">F5*G5</f>
        <v>12878.592647806148</v>
      </c>
    </row>
    <row r="6" spans="1:8" ht="33" customHeight="1">
      <c r="A6" s="27" t="s">
        <v>129</v>
      </c>
      <c r="B6" s="81"/>
      <c r="C6" s="25">
        <f>6995.88*39/100</f>
        <v>2728.3932</v>
      </c>
      <c r="D6" s="25">
        <v>3968</v>
      </c>
      <c r="E6" s="85">
        <v>11.6</v>
      </c>
      <c r="F6" s="79">
        <f t="shared" si="0"/>
        <v>7.9761494758064506</v>
      </c>
      <c r="G6" s="82">
        <v>3420</v>
      </c>
      <c r="H6" s="57">
        <f t="shared" si="1"/>
        <v>27278.431207258061</v>
      </c>
    </row>
    <row r="7" spans="1:8" ht="33" customHeight="1">
      <c r="A7" s="27" t="s">
        <v>155</v>
      </c>
      <c r="B7" s="79"/>
      <c r="C7" s="25">
        <f>95844*39/100</f>
        <v>37379.160000000003</v>
      </c>
      <c r="D7" s="25">
        <v>3968</v>
      </c>
      <c r="E7" s="85">
        <v>11.6</v>
      </c>
      <c r="F7" s="79">
        <f t="shared" si="0"/>
        <v>109.27375403225808</v>
      </c>
      <c r="G7" s="82">
        <v>9993.51</v>
      </c>
      <c r="H7" s="57">
        <f t="shared" si="1"/>
        <v>1092028.3536589115</v>
      </c>
    </row>
    <row r="8" spans="1:8" ht="33" customHeight="1">
      <c r="A8" s="27" t="s">
        <v>156</v>
      </c>
      <c r="B8" s="79"/>
      <c r="C8" s="25">
        <f>74818.26*39/100</f>
        <v>29179.121399999996</v>
      </c>
      <c r="D8" s="25">
        <v>3968</v>
      </c>
      <c r="E8" s="85">
        <v>11.6</v>
      </c>
      <c r="F8" s="79">
        <f t="shared" si="0"/>
        <v>85.301866995967728</v>
      </c>
      <c r="G8" s="82">
        <v>11662.69</v>
      </c>
      <c r="H8" s="57">
        <f t="shared" si="1"/>
        <v>994849.23119520291</v>
      </c>
    </row>
    <row r="9" spans="1:8" ht="33" customHeight="1">
      <c r="A9" s="27" t="s">
        <v>130</v>
      </c>
      <c r="B9" s="79"/>
      <c r="C9" s="25">
        <f>400000*39/100</f>
        <v>156000</v>
      </c>
      <c r="D9" s="25">
        <v>3968</v>
      </c>
      <c r="E9" s="85">
        <v>11.6</v>
      </c>
      <c r="F9" s="79">
        <f t="shared" si="0"/>
        <v>456.04838709677415</v>
      </c>
      <c r="G9" s="25">
        <v>40000</v>
      </c>
      <c r="H9" s="57">
        <f t="shared" si="1"/>
        <v>18241935.483870964</v>
      </c>
    </row>
    <row r="10" spans="1:8" ht="33" customHeight="1">
      <c r="A10" s="27" t="s">
        <v>131</v>
      </c>
      <c r="B10" s="79"/>
      <c r="C10" s="25">
        <f>18000*39/100</f>
        <v>7020</v>
      </c>
      <c r="D10" s="25">
        <v>3968</v>
      </c>
      <c r="E10" s="85">
        <v>11.6</v>
      </c>
      <c r="F10" s="79">
        <f t="shared" si="0"/>
        <v>20.522177419354836</v>
      </c>
      <c r="G10" s="25">
        <v>2000</v>
      </c>
      <c r="H10" s="57">
        <f t="shared" si="1"/>
        <v>41044.354838709674</v>
      </c>
    </row>
    <row r="11" spans="1:8" ht="33" customHeight="1">
      <c r="A11" s="27" t="s">
        <v>132</v>
      </c>
      <c r="B11" s="79"/>
      <c r="C11" s="25">
        <f>74676*39/100</f>
        <v>29123.64</v>
      </c>
      <c r="D11" s="25">
        <v>3968</v>
      </c>
      <c r="E11" s="85">
        <v>11.6</v>
      </c>
      <c r="F11" s="79">
        <f t="shared" si="0"/>
        <v>85.139673387096778</v>
      </c>
      <c r="G11" s="25">
        <v>6223</v>
      </c>
      <c r="H11" s="57">
        <f t="shared" si="1"/>
        <v>529824.18748790328</v>
      </c>
    </row>
    <row r="12" spans="1:8" ht="33" customHeight="1">
      <c r="A12" s="27" t="s">
        <v>133</v>
      </c>
      <c r="B12" s="79"/>
      <c r="C12" s="25">
        <f>80064*39/100</f>
        <v>31224.959999999999</v>
      </c>
      <c r="D12" s="25">
        <v>3968</v>
      </c>
      <c r="E12" s="85">
        <v>11.6</v>
      </c>
      <c r="F12" s="79">
        <f t="shared" si="0"/>
        <v>91.282645161290318</v>
      </c>
      <c r="G12" s="25">
        <v>6672</v>
      </c>
      <c r="H12" s="57">
        <f t="shared" si="1"/>
        <v>609037.80851612904</v>
      </c>
    </row>
    <row r="13" spans="1:8" ht="33" customHeight="1">
      <c r="A13" s="27" t="s">
        <v>157</v>
      </c>
      <c r="B13" s="92"/>
      <c r="C13" s="25">
        <f>46845*39/100</f>
        <v>18269.55</v>
      </c>
      <c r="D13" s="25">
        <v>3968</v>
      </c>
      <c r="E13" s="92">
        <v>11.6</v>
      </c>
      <c r="F13" s="92">
        <f t="shared" si="0"/>
        <v>53.408966733870969</v>
      </c>
      <c r="G13" s="25"/>
      <c r="H13" s="57">
        <f t="shared" si="1"/>
        <v>0</v>
      </c>
    </row>
    <row r="14" spans="1:8" ht="33" customHeight="1">
      <c r="A14" s="27" t="s">
        <v>143</v>
      </c>
      <c r="B14" s="79"/>
      <c r="C14" s="25">
        <f>52800*39/100</f>
        <v>20592</v>
      </c>
      <c r="D14" s="25">
        <v>3968</v>
      </c>
      <c r="E14" s="85">
        <v>11.6</v>
      </c>
      <c r="F14" s="79">
        <f t="shared" si="0"/>
        <v>60.198387096774191</v>
      </c>
      <c r="G14" s="93">
        <v>4400</v>
      </c>
      <c r="H14" s="57">
        <f t="shared" si="1"/>
        <v>264872.90322580643</v>
      </c>
    </row>
    <row r="15" spans="1:8" ht="27.75" customHeight="1">
      <c r="A15" s="125" t="s">
        <v>56</v>
      </c>
      <c r="B15" s="126"/>
      <c r="C15" s="126"/>
      <c r="D15" s="126"/>
      <c r="E15" s="126"/>
      <c r="F15" s="126"/>
      <c r="G15" s="127"/>
      <c r="H15" s="37">
        <f>H14</f>
        <v>264872.90322580643</v>
      </c>
    </row>
    <row r="17" spans="3:3">
      <c r="C17" s="43">
        <f>SUM(C5:C14)</f>
        <v>334984.7709</v>
      </c>
    </row>
  </sheetData>
  <mergeCells count="2">
    <mergeCell ref="A1:H1"/>
    <mergeCell ref="A15:G1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I32" sqref="I32"/>
    </sheetView>
  </sheetViews>
  <sheetFormatPr defaultRowHeight="15"/>
  <cols>
    <col min="1" max="1" width="32.85546875" style="26" customWidth="1"/>
    <col min="2" max="2" width="11.5703125" style="26" customWidth="1"/>
    <col min="3" max="3" width="11.28515625" style="26" customWidth="1"/>
    <col min="4" max="4" width="14" style="26" customWidth="1"/>
    <col min="5" max="5" width="14.42578125" style="26" customWidth="1"/>
    <col min="6" max="6" width="14.5703125" style="26" customWidth="1"/>
    <col min="7" max="7" width="11.42578125" style="26" customWidth="1"/>
    <col min="8" max="8" width="9.140625" style="26"/>
    <col min="9" max="9" width="15.28515625" style="26" customWidth="1"/>
    <col min="10" max="16384" width="9.140625" style="26"/>
  </cols>
  <sheetData>
    <row r="1" spans="1:9">
      <c r="A1" s="141" t="s">
        <v>57</v>
      </c>
      <c r="B1" s="141"/>
      <c r="C1" s="141"/>
      <c r="D1" s="141"/>
      <c r="E1" s="141"/>
      <c r="F1" s="141"/>
      <c r="G1" s="141"/>
      <c r="H1" s="141"/>
      <c r="I1" s="141"/>
    </row>
    <row r="3" spans="1:9" ht="70.5" customHeight="1">
      <c r="A3" s="14" t="s">
        <v>58</v>
      </c>
      <c r="B3" s="14" t="s">
        <v>30</v>
      </c>
      <c r="C3" s="14" t="s">
        <v>44</v>
      </c>
      <c r="D3" s="14" t="s">
        <v>45</v>
      </c>
      <c r="E3" s="14" t="s">
        <v>50</v>
      </c>
      <c r="F3" s="14" t="s">
        <v>55</v>
      </c>
      <c r="G3" s="14" t="s">
        <v>47</v>
      </c>
      <c r="H3" s="14" t="s">
        <v>59</v>
      </c>
      <c r="I3" s="14" t="s">
        <v>24</v>
      </c>
    </row>
    <row r="4" spans="1:9" ht="17.25" customHeight="1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 t="s">
        <v>51</v>
      </c>
      <c r="G4" s="23">
        <v>7</v>
      </c>
      <c r="H4" s="23">
        <v>8</v>
      </c>
      <c r="I4" s="23" t="s">
        <v>70</v>
      </c>
    </row>
    <row r="5" spans="1:9" s="61" customFormat="1" ht="15" hidden="1" customHeight="1">
      <c r="A5" s="60"/>
      <c r="B5" s="27"/>
      <c r="C5" s="41"/>
      <c r="D5" s="25"/>
      <c r="E5" s="41"/>
      <c r="F5" s="41"/>
      <c r="G5" s="65"/>
      <c r="H5" s="41"/>
      <c r="I5" s="57"/>
    </row>
    <row r="6" spans="1:9" s="61" customFormat="1" ht="34.5" customHeight="1">
      <c r="A6" s="60" t="s">
        <v>121</v>
      </c>
      <c r="B6" s="27" t="s">
        <v>122</v>
      </c>
      <c r="C6" s="25">
        <f>168480*39/100</f>
        <v>65707.199999999997</v>
      </c>
      <c r="D6" s="25">
        <v>68</v>
      </c>
      <c r="E6" s="79">
        <v>11.6</v>
      </c>
      <c r="F6" s="79">
        <f t="shared" ref="F6:F10" si="0">C6/D6*E6</f>
        <v>11208.875294117646</v>
      </c>
      <c r="G6" s="65">
        <v>16848</v>
      </c>
      <c r="H6" s="79">
        <v>12</v>
      </c>
      <c r="I6" s="57">
        <f t="shared" ref="I6:I10" si="1">F6*G6*H6</f>
        <v>2266165571.4635291</v>
      </c>
    </row>
    <row r="7" spans="1:9" s="61" customFormat="1" ht="15" customHeight="1">
      <c r="A7" s="60" t="s">
        <v>123</v>
      </c>
      <c r="B7" s="63" t="s">
        <v>89</v>
      </c>
      <c r="C7" s="25">
        <f>39900*39/100</f>
        <v>15561</v>
      </c>
      <c r="D7" s="25">
        <v>68</v>
      </c>
      <c r="E7" s="79">
        <v>11.6</v>
      </c>
      <c r="F7" s="79">
        <f t="shared" si="0"/>
        <v>2654.5235294117647</v>
      </c>
      <c r="G7" s="65">
        <v>3325</v>
      </c>
      <c r="H7" s="79">
        <v>12</v>
      </c>
      <c r="I7" s="57">
        <f t="shared" si="1"/>
        <v>105915488.82352939</v>
      </c>
    </row>
    <row r="8" spans="1:9" ht="15.75">
      <c r="A8" s="59"/>
      <c r="B8" s="64" t="s">
        <v>88</v>
      </c>
      <c r="C8" s="25"/>
      <c r="D8" s="25">
        <v>68</v>
      </c>
      <c r="E8" s="85">
        <v>11.6</v>
      </c>
      <c r="F8" s="79">
        <f t="shared" si="0"/>
        <v>0</v>
      </c>
      <c r="G8" s="65"/>
      <c r="H8" s="79">
        <v>12</v>
      </c>
      <c r="I8" s="57">
        <f t="shared" si="1"/>
        <v>0</v>
      </c>
    </row>
    <row r="9" spans="1:9" ht="14.25" customHeight="1">
      <c r="A9" s="59" t="s">
        <v>158</v>
      </c>
      <c r="B9" s="64"/>
      <c r="C9" s="25">
        <f>5859.84*39/100</f>
        <v>2285.3376000000003</v>
      </c>
      <c r="D9" s="25">
        <v>68</v>
      </c>
      <c r="E9" s="85">
        <v>11.6</v>
      </c>
      <c r="F9" s="79">
        <f t="shared" si="0"/>
        <v>389.85170823529415</v>
      </c>
      <c r="G9" s="83">
        <v>488.32</v>
      </c>
      <c r="H9" s="84">
        <v>12</v>
      </c>
      <c r="I9" s="57">
        <f t="shared" si="1"/>
        <v>2284468.6339855059</v>
      </c>
    </row>
    <row r="10" spans="1:9" ht="15.75">
      <c r="A10" s="59"/>
      <c r="B10" s="64" t="s">
        <v>88</v>
      </c>
      <c r="C10" s="25"/>
      <c r="D10" s="25">
        <v>68</v>
      </c>
      <c r="E10" s="85">
        <v>11.6</v>
      </c>
      <c r="F10" s="79">
        <f t="shared" si="0"/>
        <v>0</v>
      </c>
      <c r="G10" s="65"/>
      <c r="H10" s="79">
        <v>12</v>
      </c>
      <c r="I10" s="57">
        <f t="shared" si="1"/>
        <v>0</v>
      </c>
    </row>
    <row r="11" spans="1:9" s="61" customFormat="1" ht="15" hidden="1" customHeight="1">
      <c r="A11" s="60"/>
      <c r="B11" s="62"/>
      <c r="C11" s="25"/>
      <c r="D11" s="25"/>
      <c r="E11" s="79"/>
      <c r="F11" s="79"/>
      <c r="G11" s="65"/>
      <c r="H11" s="79"/>
      <c r="I11" s="57"/>
    </row>
    <row r="12" spans="1:9" s="61" customFormat="1" ht="15" hidden="1" customHeight="1">
      <c r="A12" s="60"/>
      <c r="B12" s="63"/>
      <c r="C12" s="25"/>
      <c r="D12" s="25"/>
      <c r="E12" s="79"/>
      <c r="F12" s="79"/>
      <c r="G12" s="65"/>
      <c r="H12" s="79"/>
      <c r="I12" s="57"/>
    </row>
    <row r="13" spans="1:9" s="61" customFormat="1" ht="15" hidden="1" customHeight="1">
      <c r="A13" s="60"/>
      <c r="B13" s="63"/>
      <c r="C13" s="25"/>
      <c r="D13" s="25"/>
      <c r="E13" s="79"/>
      <c r="F13" s="79"/>
      <c r="G13" s="65"/>
      <c r="H13" s="79"/>
      <c r="I13" s="57"/>
    </row>
    <row r="14" spans="1:9" ht="15.75" hidden="1">
      <c r="A14" s="59"/>
      <c r="B14" s="64"/>
      <c r="C14" s="25"/>
      <c r="D14" s="25"/>
      <c r="E14" s="79"/>
      <c r="F14" s="79"/>
      <c r="G14" s="65"/>
      <c r="H14" s="79"/>
      <c r="I14" s="57"/>
    </row>
    <row r="15" spans="1:9" ht="14.25" hidden="1" customHeight="1">
      <c r="A15" s="59"/>
      <c r="B15" s="64"/>
      <c r="C15" s="25"/>
      <c r="D15" s="25"/>
      <c r="E15" s="79"/>
      <c r="F15" s="79"/>
      <c r="G15" s="83"/>
      <c r="H15" s="84"/>
      <c r="I15" s="57"/>
    </row>
    <row r="16" spans="1:9" ht="15.75" hidden="1">
      <c r="A16" s="59"/>
      <c r="B16" s="64"/>
      <c r="C16" s="25"/>
      <c r="D16" s="25"/>
      <c r="E16" s="79"/>
      <c r="F16" s="79"/>
      <c r="G16" s="65"/>
      <c r="H16" s="79"/>
      <c r="I16" s="57"/>
    </row>
    <row r="17" spans="1:9" ht="15.75" hidden="1">
      <c r="A17" s="59"/>
      <c r="B17" s="64"/>
      <c r="C17" s="25"/>
      <c r="D17" s="25"/>
      <c r="E17" s="79"/>
      <c r="F17" s="79"/>
      <c r="G17" s="65"/>
      <c r="H17" s="79"/>
      <c r="I17" s="57"/>
    </row>
    <row r="18" spans="1:9" ht="15.75" hidden="1">
      <c r="A18" s="59"/>
      <c r="B18" s="64"/>
      <c r="C18" s="25"/>
      <c r="D18" s="25"/>
      <c r="E18" s="79"/>
      <c r="F18" s="79"/>
      <c r="G18" s="65"/>
      <c r="H18" s="79"/>
      <c r="I18" s="57"/>
    </row>
    <row r="19" spans="1:9">
      <c r="A19" s="62" t="s">
        <v>60</v>
      </c>
      <c r="B19" s="64"/>
      <c r="C19" s="64"/>
      <c r="D19" s="64"/>
      <c r="E19" s="64"/>
      <c r="F19" s="64"/>
      <c r="G19" s="64"/>
      <c r="H19" s="64"/>
      <c r="I19" s="66">
        <f>SUM(I5:I18)</f>
        <v>2374365528.9210439</v>
      </c>
    </row>
    <row r="21" spans="1:9">
      <c r="C21" s="43">
        <f>SUM(C6:C18)</f>
        <v>83553.537599999996</v>
      </c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УСЛУГА </vt:lpstr>
      <vt:lpstr>общие сведения</vt:lpstr>
      <vt:lpstr>211,213 непосред. связан. усл</vt:lpstr>
      <vt:lpstr>211,213 не связанные с оказ усл</vt:lpstr>
      <vt:lpstr>мат запасы и ОЦДИ</vt:lpstr>
      <vt:lpstr>иные затраты</vt:lpstr>
      <vt:lpstr>комунальные услуги</vt:lpstr>
      <vt:lpstr>затраты на содер недвиж имущ</vt:lpstr>
      <vt:lpstr>221, на содер ОЦДИ</vt:lpstr>
      <vt:lpstr>222 (транст)</vt:lpstr>
      <vt:lpstr>общехоз нужды</vt:lpstr>
      <vt:lpstr>Лист12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Евгеньевна Федина</dc:creator>
  <cp:lastModifiedBy>Инёшина Л.В.</cp:lastModifiedBy>
  <cp:lastPrinted>2019-04-02T04:01:52Z</cp:lastPrinted>
  <dcterms:created xsi:type="dcterms:W3CDTF">2015-12-11T05:43:49Z</dcterms:created>
  <dcterms:modified xsi:type="dcterms:W3CDTF">2024-03-20T10:09:05Z</dcterms:modified>
</cp:coreProperties>
</file>